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filterPrivacy="1" defaultThemeVersion="124226"/>
  <xr:revisionPtr revIDLastSave="0" documentId="13_ncr:1_{BC6F4264-7AE2-4797-B436-5574291C7C49}" xr6:coauthVersionLast="47" xr6:coauthVersionMax="47" xr10:uidLastSave="{00000000-0000-0000-0000-000000000000}"/>
  <workbookProtection workbookAlgorithmName="SHA-512" workbookHashValue="X3A8GRAl6Nbo7BvxcgDW3q6tSnsum7XjQaf6q72pGy6yx7sN8KDVZ69413eQkRRdAALJ+e6ifUta+HH4FfAoQQ==" workbookSaltValue="OsZ/ZU6LaW1hpidYY4+bXw==" workbookSpinCount="100000" lockStructure="1"/>
  <bookViews>
    <workbookView xWindow="28680" yWindow="-120" windowWidth="29040" windowHeight="15720" xr2:uid="{00000000-000D-0000-FFFF-FFFF00000000}"/>
  </bookViews>
  <sheets>
    <sheet name="Calculation method up to 1600 A" sheetId="9" r:id="rId1"/>
  </sheets>
  <definedNames>
    <definedName name="_xlnm.Print_Area" localSheetId="0">'Calculation method up to 1600 A'!$A$1:$R$134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 i="9" l="1"/>
  <c r="AK241" i="9" l="1"/>
  <c r="AJ241" i="9"/>
  <c r="AI241" i="9"/>
  <c r="AH241" i="9"/>
  <c r="C116" i="9"/>
  <c r="R61" i="9" s="1"/>
  <c r="W11" i="9" l="1"/>
  <c r="W12" i="9"/>
  <c r="W13" i="9"/>
  <c r="W14" i="9"/>
  <c r="W15" i="9"/>
  <c r="W16" i="9"/>
  <c r="W17" i="9"/>
  <c r="W18" i="9"/>
  <c r="W19" i="9"/>
  <c r="W20" i="9"/>
  <c r="W21" i="9"/>
  <c r="W22" i="9"/>
  <c r="W23" i="9"/>
  <c r="W24" i="9"/>
  <c r="W25" i="9"/>
  <c r="W26" i="9"/>
  <c r="W27" i="9"/>
  <c r="W28" i="9"/>
  <c r="W29" i="9"/>
  <c r="W30" i="9"/>
  <c r="W31" i="9"/>
  <c r="W32" i="9"/>
  <c r="W33" i="9"/>
  <c r="W34" i="9"/>
  <c r="W35" i="9"/>
  <c r="W36" i="9"/>
  <c r="W37" i="9"/>
  <c r="W38" i="9"/>
  <c r="W39" i="9"/>
  <c r="W40" i="9"/>
  <c r="W41" i="9"/>
  <c r="W42" i="9"/>
  <c r="W43" i="9"/>
  <c r="W44" i="9"/>
  <c r="W45" i="9"/>
  <c r="W46" i="9"/>
  <c r="W47" i="9"/>
  <c r="W48" i="9"/>
  <c r="W49" i="9"/>
  <c r="W50" i="9"/>
  <c r="W51" i="9"/>
  <c r="W52" i="9"/>
  <c r="W53" i="9"/>
  <c r="W54" i="9"/>
  <c r="W55" i="9"/>
  <c r="W56" i="9"/>
  <c r="W57" i="9"/>
  <c r="W58" i="9"/>
  <c r="W59" i="9"/>
  <c r="W10" i="9"/>
  <c r="X11" i="9"/>
  <c r="X12" i="9"/>
  <c r="X13" i="9"/>
  <c r="X14" i="9"/>
  <c r="X15" i="9"/>
  <c r="X16" i="9"/>
  <c r="X17" i="9"/>
  <c r="X18" i="9"/>
  <c r="X19" i="9"/>
  <c r="X20" i="9"/>
  <c r="X21" i="9"/>
  <c r="X22" i="9"/>
  <c r="X23" i="9"/>
  <c r="X24" i="9"/>
  <c r="X25" i="9"/>
  <c r="X26" i="9"/>
  <c r="X27" i="9"/>
  <c r="X28" i="9"/>
  <c r="X29" i="9"/>
  <c r="X30" i="9"/>
  <c r="X31" i="9"/>
  <c r="X32" i="9"/>
  <c r="X33" i="9"/>
  <c r="X34" i="9"/>
  <c r="X35" i="9"/>
  <c r="X36" i="9"/>
  <c r="X37" i="9"/>
  <c r="X38" i="9"/>
  <c r="X39" i="9"/>
  <c r="X40" i="9"/>
  <c r="X41" i="9"/>
  <c r="X42" i="9"/>
  <c r="X43" i="9"/>
  <c r="X44" i="9"/>
  <c r="X45" i="9"/>
  <c r="X46" i="9"/>
  <c r="X47" i="9"/>
  <c r="X48" i="9"/>
  <c r="X49" i="9"/>
  <c r="X50" i="9"/>
  <c r="X51" i="9"/>
  <c r="X52" i="9"/>
  <c r="X53" i="9"/>
  <c r="X54" i="9"/>
  <c r="X55" i="9"/>
  <c r="X56" i="9"/>
  <c r="X57" i="9"/>
  <c r="X58" i="9"/>
  <c r="X59" i="9"/>
  <c r="X10" i="9"/>
  <c r="Z11" i="9"/>
  <c r="Z12" i="9"/>
  <c r="Z13" i="9"/>
  <c r="Z14" i="9"/>
  <c r="Z15" i="9"/>
  <c r="Z16" i="9"/>
  <c r="Z17" i="9"/>
  <c r="Z18" i="9"/>
  <c r="Z19" i="9"/>
  <c r="Z20" i="9"/>
  <c r="Z21" i="9"/>
  <c r="Z22" i="9"/>
  <c r="Z23" i="9"/>
  <c r="Z24" i="9"/>
  <c r="Z25" i="9"/>
  <c r="Z26" i="9"/>
  <c r="Z27" i="9"/>
  <c r="Z28" i="9"/>
  <c r="Z29" i="9"/>
  <c r="Z30" i="9"/>
  <c r="Z31" i="9"/>
  <c r="Z32" i="9"/>
  <c r="Z33" i="9"/>
  <c r="Z34" i="9"/>
  <c r="Z35" i="9"/>
  <c r="Z36" i="9"/>
  <c r="Z37" i="9"/>
  <c r="Z38" i="9"/>
  <c r="Z39" i="9"/>
  <c r="Z40" i="9"/>
  <c r="Z41" i="9"/>
  <c r="Z42" i="9"/>
  <c r="Z43" i="9"/>
  <c r="Z44" i="9"/>
  <c r="Z45" i="9"/>
  <c r="Z46" i="9"/>
  <c r="Z47" i="9"/>
  <c r="Z48" i="9"/>
  <c r="T48" i="9" s="1"/>
  <c r="Z49" i="9"/>
  <c r="Z50" i="9"/>
  <c r="Z51" i="9"/>
  <c r="Z52" i="9"/>
  <c r="Z10" i="9"/>
  <c r="AA11" i="9"/>
  <c r="AA12" i="9"/>
  <c r="T12" i="9" s="1"/>
  <c r="AA13" i="9"/>
  <c r="T13" i="9" s="1"/>
  <c r="AA14" i="9"/>
  <c r="AA15" i="9"/>
  <c r="AA16" i="9"/>
  <c r="AA17" i="9"/>
  <c r="AA18" i="9"/>
  <c r="AA19" i="9"/>
  <c r="AA20" i="9"/>
  <c r="AA21" i="9"/>
  <c r="AA22" i="9"/>
  <c r="AA23" i="9"/>
  <c r="AA24" i="9"/>
  <c r="AA25" i="9"/>
  <c r="AA26" i="9"/>
  <c r="AA27" i="9"/>
  <c r="AA28" i="9"/>
  <c r="AA29" i="9"/>
  <c r="AA30" i="9"/>
  <c r="AA31" i="9"/>
  <c r="AA32" i="9"/>
  <c r="AA33" i="9"/>
  <c r="AA34" i="9"/>
  <c r="AA35" i="9"/>
  <c r="AA36" i="9"/>
  <c r="AA37" i="9"/>
  <c r="AA38" i="9"/>
  <c r="AA39" i="9"/>
  <c r="AA40" i="9"/>
  <c r="AA41" i="9"/>
  <c r="AA42" i="9"/>
  <c r="AA43" i="9"/>
  <c r="AA44" i="9"/>
  <c r="AA45" i="9"/>
  <c r="AA46" i="9"/>
  <c r="AA47" i="9"/>
  <c r="AA48" i="9"/>
  <c r="AA49" i="9"/>
  <c r="AA50" i="9"/>
  <c r="AA51" i="9"/>
  <c r="AA52" i="9"/>
  <c r="AA10" i="9"/>
  <c r="AC11" i="9"/>
  <c r="AC12" i="9"/>
  <c r="AC13" i="9"/>
  <c r="AC14" i="9"/>
  <c r="AC15" i="9"/>
  <c r="AC16" i="9"/>
  <c r="AC17" i="9"/>
  <c r="AC18" i="9"/>
  <c r="AC19" i="9"/>
  <c r="AC20" i="9"/>
  <c r="AC21" i="9"/>
  <c r="AC22" i="9"/>
  <c r="AC23" i="9"/>
  <c r="AC24" i="9"/>
  <c r="AC25" i="9"/>
  <c r="AC26" i="9"/>
  <c r="AC27" i="9"/>
  <c r="AC28" i="9"/>
  <c r="AC29" i="9"/>
  <c r="AC30" i="9"/>
  <c r="AC31" i="9"/>
  <c r="AC32" i="9"/>
  <c r="AC33" i="9"/>
  <c r="AC34" i="9"/>
  <c r="AC35" i="9"/>
  <c r="AC36" i="9"/>
  <c r="AC37" i="9"/>
  <c r="AC38" i="9"/>
  <c r="AC39" i="9"/>
  <c r="AC40" i="9"/>
  <c r="AC41" i="9"/>
  <c r="AC42" i="9"/>
  <c r="AC43" i="9"/>
  <c r="AC44" i="9"/>
  <c r="AC45" i="9"/>
  <c r="AC46" i="9"/>
  <c r="AC47" i="9"/>
  <c r="AC48" i="9"/>
  <c r="AC49" i="9"/>
  <c r="AC50" i="9"/>
  <c r="AC51" i="9"/>
  <c r="AC52" i="9"/>
  <c r="AC10" i="9"/>
  <c r="AD11" i="9"/>
  <c r="U11" i="9" s="1"/>
  <c r="AD12" i="9"/>
  <c r="U12" i="9" s="1"/>
  <c r="AD13" i="9"/>
  <c r="AD14" i="9"/>
  <c r="AD15" i="9"/>
  <c r="AD16" i="9"/>
  <c r="AD17" i="9"/>
  <c r="AD18" i="9"/>
  <c r="AD19" i="9"/>
  <c r="AD20" i="9"/>
  <c r="AD21" i="9"/>
  <c r="AD22" i="9"/>
  <c r="AD23" i="9"/>
  <c r="AD24" i="9"/>
  <c r="AD25" i="9"/>
  <c r="AD26" i="9"/>
  <c r="AD27" i="9"/>
  <c r="AD28" i="9"/>
  <c r="AD29" i="9"/>
  <c r="AD30" i="9"/>
  <c r="AD31" i="9"/>
  <c r="AD32" i="9"/>
  <c r="AD33" i="9"/>
  <c r="AD34" i="9"/>
  <c r="AD35" i="9"/>
  <c r="AD36" i="9"/>
  <c r="AD37" i="9"/>
  <c r="AD38" i="9"/>
  <c r="AD39" i="9"/>
  <c r="AD40" i="9"/>
  <c r="AD41" i="9"/>
  <c r="AD42" i="9"/>
  <c r="AD43" i="9"/>
  <c r="AD44" i="9"/>
  <c r="AD45" i="9"/>
  <c r="AD46" i="9"/>
  <c r="AD47" i="9"/>
  <c r="AD48" i="9"/>
  <c r="AD49" i="9"/>
  <c r="AD50" i="9"/>
  <c r="AD51" i="9"/>
  <c r="AD52" i="9"/>
  <c r="AD10" i="9"/>
  <c r="F52" i="9"/>
  <c r="Q52" i="9" s="1"/>
  <c r="F51" i="9"/>
  <c r="Q51" i="9" s="1"/>
  <c r="F50" i="9"/>
  <c r="Q50" i="9" s="1"/>
  <c r="F49" i="9"/>
  <c r="F48" i="9"/>
  <c r="Q48" i="9" s="1"/>
  <c r="F47" i="9"/>
  <c r="Q47" i="9" s="1"/>
  <c r="T47" i="9" l="1"/>
  <c r="U47" i="9"/>
  <c r="U48" i="9"/>
  <c r="U52" i="9"/>
  <c r="U51" i="9"/>
  <c r="T52" i="9"/>
  <c r="P52" i="9" s="1"/>
  <c r="R52" i="9" s="1"/>
  <c r="T16" i="9"/>
  <c r="U50" i="9"/>
  <c r="U49" i="9"/>
  <c r="T51" i="9"/>
  <c r="P51" i="9" s="1"/>
  <c r="R51" i="9" s="1"/>
  <c r="T15" i="9"/>
  <c r="T50" i="9"/>
  <c r="P50" i="9" s="1"/>
  <c r="R50" i="9" s="1"/>
  <c r="T14" i="9"/>
  <c r="T49" i="9"/>
  <c r="T11" i="9"/>
  <c r="P48" i="9"/>
  <c r="R48" i="9" s="1"/>
  <c r="Q49" i="9"/>
  <c r="P47" i="9"/>
  <c r="R47" i="9" s="1"/>
  <c r="F59" i="9"/>
  <c r="U46" i="9"/>
  <c r="T46" i="9"/>
  <c r="F46" i="9"/>
  <c r="Q46" i="9" s="1"/>
  <c r="U45" i="9"/>
  <c r="T45" i="9"/>
  <c r="F45" i="9"/>
  <c r="Q45" i="9" s="1"/>
  <c r="U44" i="9"/>
  <c r="T44" i="9"/>
  <c r="F44" i="9"/>
  <c r="Q44" i="9" s="1"/>
  <c r="U43" i="9"/>
  <c r="T43" i="9"/>
  <c r="F43" i="9"/>
  <c r="U42" i="9"/>
  <c r="T42" i="9"/>
  <c r="F42" i="9"/>
  <c r="Q42" i="9" s="1"/>
  <c r="U41" i="9"/>
  <c r="T41" i="9"/>
  <c r="F41" i="9"/>
  <c r="U40" i="9"/>
  <c r="T40" i="9"/>
  <c r="F40" i="9"/>
  <c r="Q40" i="9" s="1"/>
  <c r="U39" i="9"/>
  <c r="T39" i="9"/>
  <c r="F39" i="9"/>
  <c r="Q39" i="9" s="1"/>
  <c r="U38" i="9"/>
  <c r="T38" i="9"/>
  <c r="F38" i="9"/>
  <c r="Q38" i="9" s="1"/>
  <c r="U37" i="9"/>
  <c r="T37" i="9"/>
  <c r="F37" i="9"/>
  <c r="U36" i="9"/>
  <c r="T36" i="9"/>
  <c r="F36" i="9"/>
  <c r="Q36" i="9" s="1"/>
  <c r="U35" i="9"/>
  <c r="T35" i="9"/>
  <c r="F35" i="9"/>
  <c r="Q35" i="9" s="1"/>
  <c r="U34" i="9"/>
  <c r="T34" i="9"/>
  <c r="F34" i="9"/>
  <c r="Q34" i="9" s="1"/>
  <c r="U33" i="9"/>
  <c r="T33" i="9"/>
  <c r="F33" i="9"/>
  <c r="Q33" i="9" s="1"/>
  <c r="U32" i="9"/>
  <c r="T32" i="9"/>
  <c r="F32" i="9"/>
  <c r="Q32" i="9" s="1"/>
  <c r="U31" i="9"/>
  <c r="T31" i="9"/>
  <c r="F31" i="9"/>
  <c r="Q31" i="9" s="1"/>
  <c r="U30" i="9"/>
  <c r="T30" i="9"/>
  <c r="F30" i="9"/>
  <c r="Q30" i="9" s="1"/>
  <c r="U29" i="9"/>
  <c r="T29" i="9"/>
  <c r="F29" i="9"/>
  <c r="Q29" i="9" s="1"/>
  <c r="F58" i="9"/>
  <c r="F53" i="9"/>
  <c r="F57" i="9"/>
  <c r="F54" i="9"/>
  <c r="F56" i="9"/>
  <c r="U28" i="9"/>
  <c r="T28" i="9"/>
  <c r="F28" i="9"/>
  <c r="Q28" i="9" s="1"/>
  <c r="U27" i="9"/>
  <c r="T27" i="9"/>
  <c r="F27" i="9"/>
  <c r="Q27" i="9" s="1"/>
  <c r="U26" i="9"/>
  <c r="T26" i="9"/>
  <c r="F26" i="9"/>
  <c r="Q26" i="9" s="1"/>
  <c r="U25" i="9"/>
  <c r="T25" i="9"/>
  <c r="F25" i="9"/>
  <c r="Q25" i="9" s="1"/>
  <c r="U24" i="9"/>
  <c r="T24" i="9"/>
  <c r="F24" i="9"/>
  <c r="Q24" i="9" s="1"/>
  <c r="U23" i="9"/>
  <c r="T23" i="9"/>
  <c r="F23" i="9"/>
  <c r="Q23" i="9" s="1"/>
  <c r="U22" i="9"/>
  <c r="T22" i="9"/>
  <c r="F22" i="9"/>
  <c r="Q22" i="9" s="1"/>
  <c r="U21" i="9"/>
  <c r="T21" i="9"/>
  <c r="F21" i="9"/>
  <c r="Q21" i="9" s="1"/>
  <c r="U20" i="9"/>
  <c r="T20" i="9"/>
  <c r="F20" i="9"/>
  <c r="Q20" i="9" s="1"/>
  <c r="P49" i="9" l="1"/>
  <c r="R49" i="9" s="1"/>
  <c r="P44" i="9"/>
  <c r="R44" i="9" s="1"/>
  <c r="P31" i="9"/>
  <c r="R31" i="9" s="1"/>
  <c r="P41" i="9"/>
  <c r="P30" i="9"/>
  <c r="R30" i="9" s="1"/>
  <c r="P36" i="9"/>
  <c r="R36" i="9" s="1"/>
  <c r="Q41" i="9"/>
  <c r="P35" i="9"/>
  <c r="R35" i="9" s="1"/>
  <c r="P37" i="9"/>
  <c r="P38" i="9"/>
  <c r="R38" i="9" s="1"/>
  <c r="Q37" i="9"/>
  <c r="P40" i="9"/>
  <c r="R40" i="9" s="1"/>
  <c r="P46" i="9"/>
  <c r="R46" i="9" s="1"/>
  <c r="P43" i="9"/>
  <c r="P33" i="9"/>
  <c r="R33" i="9" s="1"/>
  <c r="P32" i="9"/>
  <c r="R32" i="9" s="1"/>
  <c r="P39" i="9"/>
  <c r="R39" i="9" s="1"/>
  <c r="Q43" i="9"/>
  <c r="P29" i="9"/>
  <c r="R29" i="9" s="1"/>
  <c r="P42" i="9"/>
  <c r="R42" i="9" s="1"/>
  <c r="P45" i="9"/>
  <c r="R45" i="9" s="1"/>
  <c r="P34" i="9"/>
  <c r="R34" i="9" s="1"/>
  <c r="P28" i="9"/>
  <c r="R28" i="9" s="1"/>
  <c r="P27" i="9"/>
  <c r="R27" i="9" s="1"/>
  <c r="P26" i="9"/>
  <c r="R26" i="9" s="1"/>
  <c r="P25" i="9"/>
  <c r="R25" i="9" s="1"/>
  <c r="P24" i="9"/>
  <c r="R24" i="9" s="1"/>
  <c r="P23" i="9"/>
  <c r="R23" i="9" s="1"/>
  <c r="P22" i="9"/>
  <c r="R22" i="9" s="1"/>
  <c r="P21" i="9"/>
  <c r="R21" i="9" s="1"/>
  <c r="P20" i="9"/>
  <c r="R20" i="9" s="1"/>
  <c r="F19" i="9"/>
  <c r="F18" i="9"/>
  <c r="F17" i="9"/>
  <c r="F16" i="9"/>
  <c r="F14" i="9"/>
  <c r="F15" i="9"/>
  <c r="E98" i="9"/>
  <c r="R41" i="9" l="1"/>
  <c r="R37" i="9"/>
  <c r="R43" i="9"/>
  <c r="AA53" i="9" l="1"/>
  <c r="AC53" i="9"/>
  <c r="AD53" i="9"/>
  <c r="Z53" i="9"/>
  <c r="AA54" i="9"/>
  <c r="AC54" i="9"/>
  <c r="Z54" i="9"/>
  <c r="AD54" i="9"/>
  <c r="Z56" i="9"/>
  <c r="AD56" i="9"/>
  <c r="AA56" i="9"/>
  <c r="AC56" i="9"/>
  <c r="Z57" i="9"/>
  <c r="AD57" i="9"/>
  <c r="AA57" i="9"/>
  <c r="AC57" i="9"/>
  <c r="Z59" i="9"/>
  <c r="AD59" i="9"/>
  <c r="AA59" i="9"/>
  <c r="AC59" i="9"/>
  <c r="AA58" i="9"/>
  <c r="AC58" i="9"/>
  <c r="Z58" i="9"/>
  <c r="AD58" i="9"/>
  <c r="E96" i="9" l="1"/>
  <c r="C77" i="9"/>
  <c r="C76" i="9"/>
  <c r="C75" i="9"/>
  <c r="C74" i="9"/>
  <c r="BJ90" i="9"/>
  <c r="BJ89" i="9"/>
  <c r="BJ88" i="9"/>
  <c r="BJ87" i="9"/>
  <c r="BJ86" i="9"/>
  <c r="AJ198" i="9"/>
  <c r="AJ199" i="9"/>
  <c r="AJ200" i="9"/>
  <c r="AJ197" i="9"/>
  <c r="AJ217" i="9"/>
  <c r="AP217" i="9" s="1"/>
  <c r="AJ216" i="9"/>
  <c r="AP216" i="9" s="1"/>
  <c r="AJ215" i="9"/>
  <c r="AP215" i="9" s="1"/>
  <c r="AJ214" i="9"/>
  <c r="AP214" i="9" s="1"/>
  <c r="AJ213" i="9"/>
  <c r="AP213" i="9" s="1"/>
  <c r="AJ212" i="9"/>
  <c r="AP212" i="9" s="1"/>
  <c r="AJ211" i="9"/>
  <c r="AP211" i="9" s="1"/>
  <c r="AJ210" i="9"/>
  <c r="AP210" i="9" s="1"/>
  <c r="AJ218" i="9"/>
  <c r="AP209" i="9"/>
  <c r="AP208" i="9"/>
  <c r="AP207" i="9"/>
  <c r="AP206" i="9"/>
  <c r="AP205" i="9"/>
  <c r="AK209" i="9"/>
  <c r="AK208" i="9"/>
  <c r="AK207" i="9"/>
  <c r="AK206" i="9"/>
  <c r="AK205" i="9"/>
  <c r="AK204" i="9"/>
  <c r="AK203" i="9"/>
  <c r="AK202" i="9"/>
  <c r="AK201" i="9"/>
  <c r="AM218" i="9"/>
  <c r="AM217" i="9"/>
  <c r="AM216" i="9"/>
  <c r="AM215" i="9"/>
  <c r="AK215" i="9" s="1"/>
  <c r="AM214" i="9"/>
  <c r="AM213" i="9"/>
  <c r="AM212" i="9"/>
  <c r="AM211" i="9"/>
  <c r="AM210" i="9"/>
  <c r="AM200" i="9"/>
  <c r="AM199" i="9"/>
  <c r="AM198" i="9"/>
  <c r="AM197" i="9"/>
  <c r="AM196" i="9"/>
  <c r="AK196" i="9" s="1"/>
  <c r="AM195" i="9"/>
  <c r="AK195" i="9" s="1"/>
  <c r="AM194" i="9"/>
  <c r="AK194" i="9" s="1"/>
  <c r="AM193" i="9"/>
  <c r="AK193" i="9" s="1"/>
  <c r="AM192" i="9"/>
  <c r="AK192" i="9" s="1"/>
  <c r="AM191" i="9"/>
  <c r="AK191" i="9" s="1"/>
  <c r="AM190" i="9"/>
  <c r="AK190" i="9" s="1"/>
  <c r="AM189" i="9"/>
  <c r="AK189" i="9" s="1"/>
  <c r="AM188" i="9"/>
  <c r="AK188" i="9" s="1"/>
  <c r="AM187" i="9"/>
  <c r="AK187" i="9" s="1"/>
  <c r="AM186" i="9"/>
  <c r="AK186" i="9" s="1"/>
  <c r="AM185" i="9"/>
  <c r="AK185" i="9" s="1"/>
  <c r="AM184" i="9"/>
  <c r="AK184" i="9" s="1"/>
  <c r="AM183" i="9"/>
  <c r="AK183" i="9" s="1"/>
  <c r="AM182" i="9"/>
  <c r="AK182" i="9" s="1"/>
  <c r="BK137" i="9" l="1"/>
  <c r="BK119" i="9"/>
  <c r="BK120" i="9"/>
  <c r="BK121" i="9"/>
  <c r="BK122" i="9"/>
  <c r="Y16" i="9"/>
  <c r="Y28" i="9"/>
  <c r="Y40" i="9"/>
  <c r="Y52" i="9"/>
  <c r="AB12" i="9"/>
  <c r="AB24" i="9"/>
  <c r="AB36" i="9"/>
  <c r="AB48" i="9"/>
  <c r="Y32" i="9"/>
  <c r="Y21" i="9"/>
  <c r="Y45" i="9"/>
  <c r="Y24" i="9"/>
  <c r="AB32" i="9"/>
  <c r="Y49" i="9"/>
  <c r="Y14" i="9"/>
  <c r="Y26" i="9"/>
  <c r="Y50" i="9"/>
  <c r="Y39" i="9"/>
  <c r="AB11" i="9"/>
  <c r="AB23" i="9"/>
  <c r="AB35" i="9"/>
  <c r="Y17" i="9"/>
  <c r="Y29" i="9"/>
  <c r="Y41" i="9"/>
  <c r="Y53" i="9"/>
  <c r="AB13" i="9"/>
  <c r="AB25" i="9"/>
  <c r="AB37" i="9"/>
  <c r="AB49" i="9"/>
  <c r="Y43" i="9"/>
  <c r="AB15" i="9"/>
  <c r="AB27" i="9"/>
  <c r="AB39" i="9"/>
  <c r="Y20" i="9"/>
  <c r="Y44" i="9"/>
  <c r="AB28" i="9"/>
  <c r="Y57" i="9"/>
  <c r="AB17" i="9"/>
  <c r="AB41" i="9"/>
  <c r="Y10" i="9"/>
  <c r="AB20" i="9"/>
  <c r="AB21" i="9"/>
  <c r="AB45" i="9"/>
  <c r="AB46" i="9"/>
  <c r="Y18" i="9"/>
  <c r="Y30" i="9"/>
  <c r="Y42" i="9"/>
  <c r="Y54" i="9"/>
  <c r="AB14" i="9"/>
  <c r="AB26" i="9"/>
  <c r="AB38" i="9"/>
  <c r="AB50" i="9"/>
  <c r="Y19" i="9"/>
  <c r="Y31" i="9"/>
  <c r="Y55" i="9"/>
  <c r="AB51" i="9"/>
  <c r="Y56" i="9"/>
  <c r="AB16" i="9"/>
  <c r="AB40" i="9"/>
  <c r="AB52" i="9"/>
  <c r="Y33" i="9"/>
  <c r="AB29" i="9"/>
  <c r="Y22" i="9"/>
  <c r="Y34" i="9"/>
  <c r="Y46" i="9"/>
  <c r="Y58" i="9"/>
  <c r="AB18" i="9"/>
  <c r="AB30" i="9"/>
  <c r="AB42" i="9"/>
  <c r="Y11" i="9"/>
  <c r="Y23" i="9"/>
  <c r="Y35" i="9"/>
  <c r="Y47" i="9"/>
  <c r="Y59" i="9"/>
  <c r="AB19" i="9"/>
  <c r="AB31" i="9"/>
  <c r="AB43" i="9"/>
  <c r="Y12" i="9"/>
  <c r="Y36" i="9"/>
  <c r="Y48" i="9"/>
  <c r="AB44" i="9"/>
  <c r="Y13" i="9"/>
  <c r="Y25" i="9"/>
  <c r="Y37" i="9"/>
  <c r="AB33" i="9"/>
  <c r="Y38" i="9"/>
  <c r="AB22" i="9"/>
  <c r="AB34" i="9"/>
  <c r="Y15" i="9"/>
  <c r="Y27" i="9"/>
  <c r="Y51" i="9"/>
  <c r="AB47" i="9"/>
  <c r="AB58" i="9"/>
  <c r="AB59" i="9"/>
  <c r="AB56" i="9"/>
  <c r="AB53" i="9"/>
  <c r="AB57" i="9"/>
  <c r="AB54" i="9"/>
  <c r="AE52" i="9"/>
  <c r="AE50" i="9"/>
  <c r="AE51" i="9"/>
  <c r="AK213" i="9"/>
  <c r="AE48" i="9"/>
  <c r="AE49" i="9"/>
  <c r="AE47" i="9"/>
  <c r="AE46" i="9"/>
  <c r="AE42" i="9"/>
  <c r="AE39" i="9"/>
  <c r="AE35" i="9"/>
  <c r="AE32" i="9"/>
  <c r="AE29" i="9"/>
  <c r="AE43" i="9"/>
  <c r="AE33" i="9"/>
  <c r="AE40" i="9"/>
  <c r="AE36" i="9"/>
  <c r="AE44" i="9"/>
  <c r="AE45" i="9"/>
  <c r="AE38" i="9"/>
  <c r="AE41" i="9"/>
  <c r="AE37" i="9"/>
  <c r="AE30" i="9"/>
  <c r="AE34" i="9"/>
  <c r="AE31" i="9"/>
  <c r="AK214" i="9"/>
  <c r="AK217" i="9"/>
  <c r="AE23" i="9"/>
  <c r="AE21" i="9"/>
  <c r="AE27" i="9"/>
  <c r="AE25" i="9"/>
  <c r="AE20" i="9"/>
  <c r="AE22" i="9"/>
  <c r="AE28" i="9"/>
  <c r="AE26" i="9"/>
  <c r="AE24" i="9"/>
  <c r="C86" i="9"/>
  <c r="AK210" i="9"/>
  <c r="BJ92" i="9"/>
  <c r="AK211" i="9"/>
  <c r="AK216" i="9"/>
  <c r="AP218" i="9"/>
  <c r="C87" i="9"/>
  <c r="AK199" i="9"/>
  <c r="E86" i="9"/>
  <c r="BK101" i="9"/>
  <c r="BK105" i="9"/>
  <c r="BK130" i="9"/>
  <c r="BK134" i="9"/>
  <c r="BK138" i="9"/>
  <c r="AK198" i="9"/>
  <c r="E83" i="9"/>
  <c r="E87" i="9"/>
  <c r="BK102" i="9"/>
  <c r="BK106" i="9"/>
  <c r="BK131" i="9"/>
  <c r="BK135" i="9"/>
  <c r="BK139" i="9"/>
  <c r="AK212" i="9"/>
  <c r="AK197" i="9"/>
  <c r="E84" i="9"/>
  <c r="BJ76" i="9"/>
  <c r="BK103" i="9"/>
  <c r="BK107" i="9"/>
  <c r="BK132" i="9"/>
  <c r="BK136" i="9"/>
  <c r="AK200" i="9"/>
  <c r="E85" i="9"/>
  <c r="BI150" i="9"/>
  <c r="BJ157" i="9" s="1"/>
  <c r="BK100" i="9"/>
  <c r="BK104" i="9"/>
  <c r="BK117" i="9"/>
  <c r="BK133" i="9"/>
  <c r="C84" i="9"/>
  <c r="C83" i="9"/>
  <c r="C85" i="9"/>
  <c r="AK218" i="9"/>
  <c r="G86" i="9" l="1"/>
  <c r="G84" i="9"/>
  <c r="G85" i="9"/>
  <c r="G83" i="9"/>
  <c r="G87" i="9"/>
  <c r="Q53" i="9"/>
  <c r="Q59" i="9"/>
  <c r="G89" i="9" l="1"/>
  <c r="F55" i="9"/>
  <c r="Q55" i="9" s="1"/>
  <c r="Q54" i="9"/>
  <c r="Q58" i="9"/>
  <c r="Q57" i="9"/>
  <c r="Q56" i="9"/>
  <c r="F11" i="9"/>
  <c r="AJ242" i="9" s="1"/>
  <c r="R11" i="9" s="1"/>
  <c r="K4" i="9" l="1"/>
  <c r="H128" i="9" s="1"/>
  <c r="G94" i="9"/>
  <c r="E100" i="9"/>
  <c r="C94" i="9"/>
  <c r="BM129" i="9" s="1"/>
  <c r="BN129" i="9" s="1"/>
  <c r="BJ141" i="9" s="1"/>
  <c r="E103" i="9" s="1"/>
  <c r="BM99" i="9"/>
  <c r="BN99" i="9" s="1"/>
  <c r="BK124" i="9" s="1"/>
  <c r="BJ81" i="9"/>
  <c r="BJ153" i="9"/>
  <c r="AE53" i="9"/>
  <c r="T53" i="9"/>
  <c r="U53" i="9"/>
  <c r="U59" i="9"/>
  <c r="AE59" i="9"/>
  <c r="T59" i="9"/>
  <c r="Q16" i="9"/>
  <c r="F60" i="9"/>
  <c r="F10" i="9" s="1"/>
  <c r="Q15" i="9"/>
  <c r="Q19" i="9"/>
  <c r="Q14" i="9"/>
  <c r="Q18" i="9"/>
  <c r="Q17" i="9"/>
  <c r="AD55" i="9" l="1"/>
  <c r="AA55" i="9"/>
  <c r="AB55" i="9"/>
  <c r="AC55" i="9"/>
  <c r="Z55" i="9"/>
  <c r="P59" i="9"/>
  <c r="R59" i="9" s="1"/>
  <c r="P53" i="9"/>
  <c r="R53" i="9" s="1"/>
  <c r="E97" i="9"/>
  <c r="U56" i="9"/>
  <c r="AE56" i="9"/>
  <c r="T56" i="9"/>
  <c r="AE16" i="9"/>
  <c r="U16" i="9"/>
  <c r="AE14" i="9"/>
  <c r="AE57" i="9"/>
  <c r="T57" i="9"/>
  <c r="U57" i="9"/>
  <c r="AE15" i="9"/>
  <c r="U15" i="9"/>
  <c r="AE18" i="9"/>
  <c r="T18" i="9"/>
  <c r="AE58" i="9"/>
  <c r="T58" i="9"/>
  <c r="U58" i="9"/>
  <c r="AE55" i="9"/>
  <c r="AE13" i="9"/>
  <c r="AE19" i="9"/>
  <c r="T19" i="9"/>
  <c r="U19" i="9"/>
  <c r="AE17" i="9"/>
  <c r="AE54" i="9"/>
  <c r="T54" i="9"/>
  <c r="U54" i="9"/>
  <c r="AE11" i="9"/>
  <c r="AE12" i="9"/>
  <c r="Q10" i="9"/>
  <c r="AB10" i="9"/>
  <c r="T55" i="9" l="1"/>
  <c r="U55" i="9"/>
  <c r="P55" i="9"/>
  <c r="R55" i="9" s="1"/>
  <c r="P58" i="9"/>
  <c r="R58" i="9" s="1"/>
  <c r="P57" i="9"/>
  <c r="R57" i="9" s="1"/>
  <c r="P54" i="9"/>
  <c r="R54" i="9" s="1"/>
  <c r="P56" i="9"/>
  <c r="R56" i="9" s="1"/>
  <c r="U17" i="9"/>
  <c r="U18" i="9"/>
  <c r="P18" i="9" s="1"/>
  <c r="R18" i="9" s="1"/>
  <c r="P15" i="9"/>
  <c r="R15" i="9" s="1"/>
  <c r="U14" i="9"/>
  <c r="T17" i="9"/>
  <c r="P16" i="9"/>
  <c r="R16" i="9" s="1"/>
  <c r="U13" i="9"/>
  <c r="T10" i="9"/>
  <c r="AE10" i="9"/>
  <c r="U10" i="9" s="1"/>
  <c r="P19" i="9"/>
  <c r="R19" i="9" s="1"/>
  <c r="P17" i="9" l="1"/>
  <c r="R17" i="9" s="1"/>
  <c r="P14" i="9"/>
  <c r="R14" i="9" s="1"/>
  <c r="P10" i="9"/>
  <c r="R10" i="9" s="1"/>
  <c r="R60" i="9" l="1"/>
  <c r="R62" i="9" l="1"/>
  <c r="E99" i="9" s="1"/>
  <c r="E101" i="9" s="1"/>
  <c r="E102" i="9" s="1"/>
  <c r="R67" i="9" s="1"/>
  <c r="R68" i="9" s="1"/>
  <c r="D120" i="9"/>
  <c r="C112" i="9" s="1"/>
  <c r="L100" i="9" l="1"/>
  <c r="E104" i="9"/>
  <c r="R64" i="9" s="1"/>
  <c r="R65" i="9" s="1"/>
  <c r="L103" i="9"/>
  <c r="L101" i="9"/>
  <c r="L102" i="9"/>
  <c r="L99" i="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K3" authorId="0" shapeId="0" xr:uid="{00000000-0006-0000-0000-000002000000}">
      <text>
        <r>
          <rPr>
            <b/>
            <sz val="10"/>
            <color indexed="81"/>
            <rFont val="Tahoma"/>
            <family val="2"/>
          </rPr>
          <t xml:space="preserve">Způsoby instalace skříně:
</t>
        </r>
        <r>
          <rPr>
            <sz val="10"/>
            <color indexed="81"/>
            <rFont val="Tahoma"/>
            <family val="2"/>
            <charset val="238"/>
          </rPr>
          <t>1 Volně stojící skříň
2 Nástěnná skříň
3 Počáteční nebo koncová volně stojící skříň
4 Počáteční nebo koncová nástěnná skříň
5 Vnitřní/střední volně stojící skříň
6 Vnitřní/střední nástěnná skříň
7 Nástěnná skříň (přiléhající ke stropu)</t>
        </r>
        <r>
          <rPr>
            <sz val="10"/>
            <color indexed="81"/>
            <rFont val="Tahoma"/>
            <family val="2"/>
          </rPr>
          <t xml:space="preserve">
</t>
        </r>
      </text>
    </comment>
    <comment ref="Q5" authorId="0" shapeId="0" xr:uid="{00000000-0006-0000-0000-000003000000}">
      <text>
        <r>
          <rPr>
            <b/>
            <sz val="11"/>
            <color indexed="81"/>
            <rFont val="Tahoma"/>
            <family val="2"/>
          </rPr>
          <t xml:space="preserve">Možnost volby pro vodorovné oddělovací stěny:
</t>
        </r>
        <r>
          <rPr>
            <sz val="11"/>
            <color indexed="81"/>
            <rFont val="Tahoma"/>
            <family val="2"/>
            <charset val="238"/>
          </rPr>
          <t>0,1,2 nebo 3</t>
        </r>
        <r>
          <rPr>
            <sz val="8"/>
            <color indexed="81"/>
            <rFont val="Tahoma"/>
            <family val="2"/>
          </rPr>
          <t xml:space="preserve">
</t>
        </r>
      </text>
    </comment>
    <comment ref="D10" authorId="0" shapeId="0" xr:uid="{00000000-0006-0000-0000-000004000000}">
      <text>
        <r>
          <rPr>
            <b/>
            <sz val="12"/>
            <color indexed="81"/>
            <rFont val="Tahoma"/>
            <family val="2"/>
          </rPr>
          <t>Jmenovitý proud obvodu I</t>
        </r>
        <r>
          <rPr>
            <b/>
            <vertAlign val="subscript"/>
            <sz val="12"/>
            <color indexed="81"/>
            <rFont val="Tahoma"/>
            <family val="2"/>
            <charset val="238"/>
          </rPr>
          <t>nc</t>
        </r>
        <r>
          <rPr>
            <b/>
            <sz val="12"/>
            <color indexed="81"/>
            <rFont val="Tahoma"/>
            <family val="2"/>
          </rPr>
          <t xml:space="preserve">: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10" authorId="0" shapeId="0" xr:uid="{E0AC056C-04A0-44B8-B577-97CB09D34F09}">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10" authorId="0" shapeId="0" xr:uid="{00000000-0006-0000-0000-000005000000}">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10" authorId="0" shapeId="0" xr:uid="{00000000-0006-0000-0000-000006000000}">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10" authorId="0" shapeId="0" xr:uid="{00000000-0006-0000-0000-000007000000}">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10" authorId="0" shapeId="0" xr:uid="{00000000-0006-0000-0000-000008000000}">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10" authorId="0" shapeId="0" xr:uid="{00000000-0006-0000-0000-000009000000}">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10" authorId="0" shapeId="0" xr:uid="{00000000-0006-0000-0000-00000A000000}">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10" authorId="0" shapeId="0" xr:uid="{00000000-0006-0000-0000-00000B000000}">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10" authorId="0" shapeId="0" xr:uid="{00000000-0006-0000-0000-00000C000000}">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10" authorId="0" shapeId="0" xr:uid="{00000000-0006-0000-0000-00000D000000}">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11" authorId="0" shapeId="0" xr:uid="{00000000-0006-0000-0000-000015000000}">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11" authorId="0" shapeId="0" xr:uid="{720E9B7E-B6FE-48E8-BBDD-4EED6520A9AD}">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L11" authorId="0" shapeId="0" xr:uid="{00000000-0006-0000-0000-00001C000000}">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11" authorId="0" shapeId="0" xr:uid="{00000000-0006-0000-0000-00001D000000}">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11" authorId="0" shapeId="0" xr:uid="{00000000-0006-0000-0000-00001E000000}">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11" authorId="0" shapeId="0" xr:uid="{54313D25-C286-492C-A08C-0AD60B69DFF1}">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12" authorId="0" shapeId="0" xr:uid="{0485F22F-93A9-4EEA-BBA4-899B73014F87}">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12" authorId="0" shapeId="0" xr:uid="{D45A37D1-B610-478C-84A4-BBF92380D6C5}">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12" authorId="0" shapeId="0" xr:uid="{4ACEDB6D-69AD-48B0-84B4-79C52A37BBB8}">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12" authorId="0" shapeId="0" xr:uid="{5D7F632A-9AB5-49C1-ABE0-A78D03754B0F}">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12" authorId="0" shapeId="0" xr:uid="{0139CB49-8425-4A87-B67E-A7AC62CFA706}">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12" authorId="0" shapeId="0" xr:uid="{0BB624B5-3D43-4150-B995-DF5A8B207D7C}">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12" authorId="0" shapeId="0" xr:uid="{CCCA6744-AFAC-4D73-850D-ABE18A7F0224}">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12" authorId="0" shapeId="0" xr:uid="{7AFF081A-AB50-4C64-B27E-82E547A585C6}">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12" authorId="0" shapeId="0" xr:uid="{689D98DA-A6C8-48B5-BD46-E82FF2759660}">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12" authorId="0" shapeId="0" xr:uid="{37A154E7-EF19-40AE-895B-62C5CCA27BB6}">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12" authorId="0" shapeId="0" xr:uid="{1F8E2B19-390D-4B4A-AAF3-E4D9EA848DE3}">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13" authorId="0" shapeId="0" xr:uid="{0B8DA4F5-4BD9-423A-AF6E-5FA621C2018C}">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13" authorId="0" shapeId="0" xr:uid="{FA412900-A7A0-486C-BBDC-B55759A7835D}">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13" authorId="0" shapeId="0" xr:uid="{91FBF3FF-6E07-4A27-BD25-473A74D39B2B}">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13" authorId="0" shapeId="0" xr:uid="{FC5F6DE7-20E9-451F-A97F-300EECD46CBA}">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13" authorId="0" shapeId="0" xr:uid="{969B8F91-D9C1-4235-A3CE-3235BEA4E0C0}">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13" authorId="0" shapeId="0" xr:uid="{43D9D5D2-EC22-4734-BAC6-B17A70104F5C}">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13" authorId="0" shapeId="0" xr:uid="{099DC2C5-AA70-473B-8815-2F041D50E60D}">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13" authorId="0" shapeId="0" xr:uid="{6DFA70A7-6D18-484D-9EB6-327FAB3CF113}">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13" authorId="0" shapeId="0" xr:uid="{E744A4A5-64E4-47FE-B747-DE56B0B58CF2}">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13" authorId="0" shapeId="0" xr:uid="{3403A0EC-95B1-4CF2-996E-43BB4A4DEB62}">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13" authorId="0" shapeId="0" xr:uid="{82B73315-9614-49F6-B6F8-1514F67E3B83}">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14" authorId="0" shapeId="0" xr:uid="{1E8EA2FB-BE74-4DF5-8ED5-DF971D8CC3FE}">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14" authorId="0" shapeId="0" xr:uid="{FF4CC740-58A5-488C-88BB-66B06490216A}">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14" authorId="0" shapeId="0" xr:uid="{3F28041D-B4D7-4207-9206-470B37022C15}">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14" authorId="0" shapeId="0" xr:uid="{A64746EF-2071-4D2D-A13C-7AE7C1FA7632}">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14" authorId="0" shapeId="0" xr:uid="{0E9419BE-D588-4593-BE67-045568104609}">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14" authorId="0" shapeId="0" xr:uid="{9E91406B-B6CC-4B2F-B8E9-C46E475C0AC7}">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14" authorId="0" shapeId="0" xr:uid="{FD87CD87-1623-4AAE-BE33-9C3E9F632C8A}">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14" authorId="0" shapeId="0" xr:uid="{E6CE8D5B-C8A3-4CFB-A014-048CDEACCEA3}">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14" authorId="0" shapeId="0" xr:uid="{7448BAC8-6F5B-42FF-8AEB-615E252300B3}">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14" authorId="0" shapeId="0" xr:uid="{7F809A00-A47A-4A14-A929-BE5F96C4F70B}">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14" authorId="0" shapeId="0" xr:uid="{CD3BDE64-4F1D-48DC-82D0-C529DAA121B6}">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15" authorId="0" shapeId="0" xr:uid="{6794CF19-264D-462C-A79D-7272BFBE2158}">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15" authorId="0" shapeId="0" xr:uid="{B94D5691-101E-46EA-AD1C-6CF84E9C0C67}">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15" authorId="0" shapeId="0" xr:uid="{735E3F57-2E1C-4560-A8F6-87A88E49D4F5}">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15" authorId="0" shapeId="0" xr:uid="{CCE4BCEA-54D8-4DD1-B3F8-DE276E53EE23}">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15" authorId="0" shapeId="0" xr:uid="{D9E0E9CE-5F70-44B8-BD06-D801C7C3214A}">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15" authorId="0" shapeId="0" xr:uid="{1F0D769D-1956-42B0-9BDB-A5C3CECAC571}">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15" authorId="0" shapeId="0" xr:uid="{C270974A-9854-4111-A619-2D0427FB3C2B}">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15" authorId="0" shapeId="0" xr:uid="{2C9FFE35-A407-46C4-BD87-A2A5E3C4651E}">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15" authorId="0" shapeId="0" xr:uid="{B155254B-9C1C-47B0-BD9E-E63E906C80FC}">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15" authorId="0" shapeId="0" xr:uid="{7617BD5C-FA12-43FA-8AD1-9CA70217C3F9}">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15" authorId="0" shapeId="0" xr:uid="{720444D9-5C15-4DBE-B760-3AE82792369C}">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16" authorId="0" shapeId="0" xr:uid="{23393B75-6649-4C2E-887B-A7B4A70FD208}">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16" authorId="0" shapeId="0" xr:uid="{65B0E817-C9A5-4566-9CAA-E1FC18AD7DD3}">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16" authorId="0" shapeId="0" xr:uid="{21540E38-680E-4797-BFDF-9351F286066A}">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16" authorId="0" shapeId="0" xr:uid="{3BB93C43-C55E-4A49-88D9-78F6E4AC5403}">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16" authorId="0" shapeId="0" xr:uid="{48ED492C-4435-4021-A952-A8871F1AF15A}">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16" authorId="0" shapeId="0" xr:uid="{EF8F158E-34B0-48B8-B1F1-5B418DE3578F}">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16" authorId="0" shapeId="0" xr:uid="{1706D76E-95B0-418D-B825-2A86006F467D}">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16" authorId="0" shapeId="0" xr:uid="{3F3474EE-5B36-4109-96A3-AD258D303896}">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16" authorId="0" shapeId="0" xr:uid="{747AB034-A97D-43F3-A1EE-C7E5735EF5EA}">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16" authorId="0" shapeId="0" xr:uid="{5C85550C-4F29-4F7D-8F80-292E97AAD26A}">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16" authorId="0" shapeId="0" xr:uid="{6ACAF60A-3076-4595-ACA4-FD051430B933}">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17" authorId="0" shapeId="0" xr:uid="{F7603F96-12FD-4EDD-ABBF-E7025CE05209}">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17" authorId="0" shapeId="0" xr:uid="{3985746B-E275-4715-A4D3-B87E81C73DDF}">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17" authorId="0" shapeId="0" xr:uid="{897C3E60-3A1F-4F04-A232-CF0619FE3D05}">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17" authorId="0" shapeId="0" xr:uid="{34B4F35E-8047-4578-9CFF-0F084F0F65F5}">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17" authorId="0" shapeId="0" xr:uid="{26EA2890-0CD2-40D7-B485-07E98BE4C7EE}">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17" authorId="0" shapeId="0" xr:uid="{3F0A052E-94F3-4636-A593-589760B17D89}">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17" authorId="0" shapeId="0" xr:uid="{D9790A9B-B585-41C5-916B-93D8631ED26E}">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17" authorId="0" shapeId="0" xr:uid="{2189D011-1520-4E08-ABA5-8889F6B7DF60}">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17" authorId="0" shapeId="0" xr:uid="{75DEB8BE-AEF3-4487-9FE9-58C329D10717}">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17" authorId="0" shapeId="0" xr:uid="{7466D52C-4AD1-4AA8-B522-9D42A90BCCAC}">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17" authorId="0" shapeId="0" xr:uid="{94722AB8-E96F-4BCA-AD14-C1151CF102C6}">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18" authorId="0" shapeId="0" xr:uid="{8FA255F4-F145-4C61-BA64-E1B022F8280C}">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18" authorId="0" shapeId="0" xr:uid="{D7EFCEC0-CF4B-41B1-B7A5-BDC8696CB6B4}">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18" authorId="0" shapeId="0" xr:uid="{5469F6B6-A970-4C78-ADA8-F65BF4A18524}">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18" authorId="0" shapeId="0" xr:uid="{B2FA5901-2AFB-467D-9B53-421EB30A7455}">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18" authorId="0" shapeId="0" xr:uid="{1647A9F8-6709-44F2-85AC-AFF93DA0959A}">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18" authorId="0" shapeId="0" xr:uid="{804CE057-E25C-4B3F-BA22-BA78ACF71DF4}">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18" authorId="0" shapeId="0" xr:uid="{9B72EC18-E1A1-4344-94C7-19391ED38A9D}">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18" authorId="0" shapeId="0" xr:uid="{E7719E36-3963-49FD-9C34-5DC1CBBC6B45}">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18" authorId="0" shapeId="0" xr:uid="{D842F421-1011-4ED8-BF2A-2CF5CF6B966A}">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18" authorId="0" shapeId="0" xr:uid="{E7E9ED43-B7E2-4C41-96E3-96C00734CAAC}">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18" authorId="0" shapeId="0" xr:uid="{232F7397-74B9-4885-8820-78216950590E}">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19" authorId="0" shapeId="0" xr:uid="{E20D4297-463E-4220-A82F-9AF3A28A06E1}">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19" authorId="0" shapeId="0" xr:uid="{236B1B8E-2B04-4DF7-AA0A-D3EB3039AF12}">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19" authorId="0" shapeId="0" xr:uid="{29FFFE36-95FF-4F4A-948A-EDEE21595F44}">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19" authorId="0" shapeId="0" xr:uid="{B3B9A448-3490-406A-9FE0-FDEFB5C4A1BE}">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19" authorId="0" shapeId="0" xr:uid="{EF22DEDE-C218-4017-B8B1-A66F6AD53FE3}">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19" authorId="0" shapeId="0" xr:uid="{DDE673C5-20F7-4E37-8E1B-1B1BF02A2BA2}">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19" authorId="0" shapeId="0" xr:uid="{9A99C693-4472-48BF-A489-DB26CE02B2E8}">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19" authorId="0" shapeId="0" xr:uid="{70833F55-FB7B-4D36-98E4-7C96647A0E68}">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19" authorId="0" shapeId="0" xr:uid="{11DC0AE0-07E1-4695-B19A-3D03E3A2E494}">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19" authorId="0" shapeId="0" xr:uid="{789E10A9-DD4C-4A74-B0FF-1870FA7389C1}">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19" authorId="0" shapeId="0" xr:uid="{9928DA52-3EC6-412D-A9E7-12386051D2FD}">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20" authorId="0" shapeId="0" xr:uid="{475E817B-69BD-4AD1-AEE7-EE987E3356F1}">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20" authorId="0" shapeId="0" xr:uid="{9DA0D0C0-2081-4158-A23B-466D5C929817}">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20" authorId="0" shapeId="0" xr:uid="{6445C6AA-3B23-475F-8774-7FC292A6A8A1}">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20" authorId="0" shapeId="0" xr:uid="{AD681C13-D4FE-481F-84B0-4AECEE65C6EB}">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20" authorId="0" shapeId="0" xr:uid="{85AAF2A9-6DE9-46E4-B06D-00DEEB820348}">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20" authorId="0" shapeId="0" xr:uid="{4841700A-3D51-4534-B41C-3278BEDD539F}">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20" authorId="0" shapeId="0" xr:uid="{CF2FC0C4-AF4F-45E7-8F69-E91D3AD6C192}">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20" authorId="0" shapeId="0" xr:uid="{4535A5DE-DC6C-4055-A7AD-D8359DAC4736}">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20" authorId="0" shapeId="0" xr:uid="{A94B69D0-11F0-46A8-AECD-75CCE64F022C}">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20" authorId="0" shapeId="0" xr:uid="{F076861C-50DD-493D-8DC5-F245506B8B12}">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20" authorId="0" shapeId="0" xr:uid="{65538564-621A-4C49-BD72-103C6A9F4FFB}">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21" authorId="0" shapeId="0" xr:uid="{7A826D87-6388-4007-AEB8-CAE27152E507}">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21" authorId="0" shapeId="0" xr:uid="{5B69E74C-E224-48D8-AA11-456FE5AB312A}">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21" authorId="0" shapeId="0" xr:uid="{D9A52A75-9E97-41B7-8E96-F125DDD6CE1A}">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21" authorId="0" shapeId="0" xr:uid="{77661588-A14B-4E4F-94C1-2A5A91DA74EC}">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21" authorId="0" shapeId="0" xr:uid="{F3E1516C-A4E6-4910-BC52-987719DB2952}">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21" authorId="0" shapeId="0" xr:uid="{20731A8F-ADED-46F7-B512-A17F7633DF23}">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21" authorId="0" shapeId="0" xr:uid="{9D20066D-8AD8-4CEA-8A5B-7638A392C92F}">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21" authorId="0" shapeId="0" xr:uid="{A8F91252-2B4A-4ED0-AB32-AE23FBBA039B}">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21" authorId="0" shapeId="0" xr:uid="{11F758C5-0C48-4623-B7CB-BAD00D38C32D}">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21" authorId="0" shapeId="0" xr:uid="{D943A62D-77DD-4733-B49D-703C5FD15594}">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21" authorId="0" shapeId="0" xr:uid="{48B8F5F9-96E5-4A23-8072-113F21C3694D}">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22" authorId="0" shapeId="0" xr:uid="{D76C3D3C-30AF-45F0-8F67-C44532CC783F}">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22" authorId="0" shapeId="0" xr:uid="{896CB81F-092C-4F2B-93B6-37316A34E559}">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22" authorId="0" shapeId="0" xr:uid="{80B39E57-1DF4-47B9-B101-0CFE8D418BD5}">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22" authorId="0" shapeId="0" xr:uid="{C0FA9749-6405-41A1-93D7-54CB1FDCAA2C}">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22" authorId="0" shapeId="0" xr:uid="{4A6A4F95-7B94-48F6-AD92-ECB948C480FB}">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22" authorId="0" shapeId="0" xr:uid="{6B8B7B7F-9C9E-428C-8235-119CB9AAD55C}">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22" authorId="0" shapeId="0" xr:uid="{26F5A316-F5E1-4336-B75F-3358A433B9B0}">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22" authorId="0" shapeId="0" xr:uid="{0381D6DA-758F-4C6B-9D2A-508651EE3A94}">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22" authorId="0" shapeId="0" xr:uid="{E07AFC89-9BAB-4E33-A7EA-14BD37BEB71C}">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22" authorId="0" shapeId="0" xr:uid="{54CDED3C-4CB5-4504-BA3E-66EE0D29933E}">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22" authorId="0" shapeId="0" xr:uid="{DBBA53BE-ED88-473A-80F9-202F067E64C5}">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23" authorId="0" shapeId="0" xr:uid="{E1E643D9-44D6-4F05-8B31-9148B2A84170}">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23" authorId="0" shapeId="0" xr:uid="{F342BE04-87E7-4743-9FFC-AF9ABC44FC51}">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23" authorId="0" shapeId="0" xr:uid="{30CE4376-B722-4DAF-909E-5C2452A5436A}">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23" authorId="0" shapeId="0" xr:uid="{0A24A694-8D84-405C-B0D8-474FEF192CB6}">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23" authorId="0" shapeId="0" xr:uid="{D3A2B692-96F5-4C6A-8A02-080C49D09E6A}">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23" authorId="0" shapeId="0" xr:uid="{6BA83799-0698-4FC3-9431-0A8491F8ECB3}">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23" authorId="0" shapeId="0" xr:uid="{91B94634-450A-4D53-8F4A-C67863954AEC}">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23" authorId="0" shapeId="0" xr:uid="{90939FC0-4574-4594-AB79-38F420398461}">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23" authorId="0" shapeId="0" xr:uid="{BD3720CF-BB2F-4AA5-93E0-D18958FD3B8F}">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23" authorId="0" shapeId="0" xr:uid="{EAEDF009-75C5-4ACD-9F47-58309FA0E2C2}">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23" authorId="0" shapeId="0" xr:uid="{E53C15B2-B533-425F-B4BB-F470DC42846C}">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24" authorId="0" shapeId="0" xr:uid="{D738803C-E5E5-4FBE-99AC-8FF9F5FFEF2A}">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24" authorId="0" shapeId="0" xr:uid="{8A52CE7B-65C4-4FAF-9A79-C4144652A2ED}">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24" authorId="0" shapeId="0" xr:uid="{303CDC7A-A848-4516-A426-7FF85253599D}">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24" authorId="0" shapeId="0" xr:uid="{1B949040-C038-4DE7-B082-11E9892D8A55}">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24" authorId="0" shapeId="0" xr:uid="{492B1A15-617B-4389-96F5-89B5BEF69F53}">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24" authorId="0" shapeId="0" xr:uid="{F9CCE451-EC94-457C-A45A-7074C12315D1}">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24" authorId="0" shapeId="0" xr:uid="{8876DD0C-1F7B-4B9D-B6F2-78A34124A25C}">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24" authorId="0" shapeId="0" xr:uid="{31E7A2CB-A4F0-40FE-9105-93AE2DAE0E6A}">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24" authorId="0" shapeId="0" xr:uid="{BB9923D7-69DC-45F5-8A9D-65D6CB4491CB}">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24" authorId="0" shapeId="0" xr:uid="{B1082848-C643-4577-89B4-E6F56C93552A}">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24" authorId="0" shapeId="0" xr:uid="{8321516C-1803-484D-AE8B-783916263903}">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25" authorId="0" shapeId="0" xr:uid="{259B5BE9-CB71-4687-B85E-9446FAE1CDA8}">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25" authorId="0" shapeId="0" xr:uid="{780B40E6-104E-41C6-9109-EA4E40895202}">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25" authorId="0" shapeId="0" xr:uid="{E415F789-986A-4124-9419-42DAEEE03EFC}">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25" authorId="0" shapeId="0" xr:uid="{1B0C7A26-B103-469C-95F7-1C746B3411A6}">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25" authorId="0" shapeId="0" xr:uid="{9BB108C4-B123-4EC4-B92B-E1BA056509C0}">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25" authorId="0" shapeId="0" xr:uid="{60E9ED5A-E8B6-4F8A-AD64-A9F04E307538}">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25" authorId="0" shapeId="0" xr:uid="{B8CFEFF5-57EA-4161-8A1C-59A770FAAC96}">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25" authorId="0" shapeId="0" xr:uid="{BFA73DC6-7153-466E-84FB-9D52F338636E}">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25" authorId="0" shapeId="0" xr:uid="{457532A6-F74C-4BA1-8033-0DC9A99991A1}">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25" authorId="0" shapeId="0" xr:uid="{7F0012BC-9184-4BB3-A0C7-256A9D210BA2}">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25" authorId="0" shapeId="0" xr:uid="{5665861A-EEC9-41BE-8FC4-19F03AF2C596}">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26" authorId="0" shapeId="0" xr:uid="{C7530B6F-5EF9-496F-A894-F15E0CD4CA09}">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26" authorId="0" shapeId="0" xr:uid="{6E0DA506-9513-4602-81F9-03A317E25F61}">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26" authorId="0" shapeId="0" xr:uid="{40C061F0-E66D-43AC-9DD6-E9BA4474C417}">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26" authorId="0" shapeId="0" xr:uid="{FB8AFC23-8E26-4A15-A2A8-702EA071C954}">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26" authorId="0" shapeId="0" xr:uid="{FFB5FAC4-770C-4FA2-9C59-8904E0C0273A}">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26" authorId="0" shapeId="0" xr:uid="{38BB404E-42E8-4E3E-9694-F7B2F6A6BC8C}">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26" authorId="0" shapeId="0" xr:uid="{DA7E6E36-D52E-44FF-98C4-B5BA6FA28241}">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26" authorId="0" shapeId="0" xr:uid="{33947E6D-3EB7-4FD3-87F8-3D998C29FB12}">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26" authorId="0" shapeId="0" xr:uid="{EAF46C50-3A51-4220-9E2E-C02A1A111808}">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26" authorId="0" shapeId="0" xr:uid="{1717E41C-56A6-430B-A530-73750038C521}">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26" authorId="0" shapeId="0" xr:uid="{ED678FC0-1ABD-403A-8609-AEC403C4EB6F}">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27" authorId="0" shapeId="0" xr:uid="{89CDB886-1E8A-465B-82D6-CCFC831A92A8}">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27" authorId="0" shapeId="0" xr:uid="{96579671-1960-478A-8BA1-F9B40A6FEF68}">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27" authorId="0" shapeId="0" xr:uid="{24B312DA-EB52-436B-A42F-E83451CD6A0A}">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27" authorId="0" shapeId="0" xr:uid="{0671202F-1DB8-42CD-8A06-340A551D6DFC}">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27" authorId="0" shapeId="0" xr:uid="{BE7769CF-891B-4DCD-84AA-579E4AD93E09}">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27" authorId="0" shapeId="0" xr:uid="{54C3F2A0-601B-47EE-88AA-F29A2BB10D0C}">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27" authorId="0" shapeId="0" xr:uid="{07500845-1D6D-4F9A-AEA7-9F9388B38D4C}">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27" authorId="0" shapeId="0" xr:uid="{3C59F3AF-5537-46D3-A48E-F73CDA8F8C4E}">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27" authorId="0" shapeId="0" xr:uid="{E4D3BCCB-DD23-41B6-9B3C-5B3AED886795}">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27" authorId="0" shapeId="0" xr:uid="{CEE2D0C4-3068-4C2D-85B9-80572A8C2CE6}">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27" authorId="0" shapeId="0" xr:uid="{87F7790A-CCA7-4556-9039-85D8B7B47E01}">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28" authorId="0" shapeId="0" xr:uid="{EC5C922E-FDB2-45E5-9BF5-5BFD54CEC03D}">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28" authorId="0" shapeId="0" xr:uid="{C5FB54FB-0908-4881-A1CF-7F1E0B5B070D}">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28" authorId="0" shapeId="0" xr:uid="{4CD4837E-F0BB-4CE7-8032-E93EA4DEBBEE}">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28" authorId="0" shapeId="0" xr:uid="{EBA457C0-221B-46B7-BF5D-5E79039A157A}">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28" authorId="0" shapeId="0" xr:uid="{A5F265A6-F151-47B8-BFFD-542E75924BBC}">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28" authorId="0" shapeId="0" xr:uid="{B689E224-B97C-4D24-8919-4F9232A989F4}">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28" authorId="0" shapeId="0" xr:uid="{3DF62C06-E610-4370-85FB-AAA4C45CBD3B}">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28" authorId="0" shapeId="0" xr:uid="{B838C55B-B884-4F77-9434-03336C394F95}">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28" authorId="0" shapeId="0" xr:uid="{A81AB4DB-F7A3-4A06-9FF5-7EF44303B6E3}">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28" authorId="0" shapeId="0" xr:uid="{78F9939E-A5E6-4FF5-A357-30D5E19F055B}">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28" authorId="0" shapeId="0" xr:uid="{C5BF8226-D338-45F3-A0DC-1330FED59D83}">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29" authorId="0" shapeId="0" xr:uid="{ACC4DA5D-BD40-49B6-A318-92DDDFEC03E2}">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29" authorId="0" shapeId="0" xr:uid="{32F473E8-E891-4C7C-8E39-72234FEFA3E0}">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29" authorId="0" shapeId="0" xr:uid="{F19A6945-507F-4F52-970E-A512C997FB41}">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29" authorId="0" shapeId="0" xr:uid="{F1C965D7-4A39-4266-8B2B-E79834F50B42}">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29" authorId="0" shapeId="0" xr:uid="{76B8DE6A-7634-40C8-AF84-5C6670FC5B1A}">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29" authorId="0" shapeId="0" xr:uid="{8918D6FB-4FBA-4CEA-989C-BE671C7BCB9B}">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29" authorId="0" shapeId="0" xr:uid="{57923EA2-D151-42BC-A3AD-CF5F45E8B7B1}">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29" authorId="0" shapeId="0" xr:uid="{E23D6718-ADF4-42AC-9CDF-CB14D4488EB6}">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29" authorId="0" shapeId="0" xr:uid="{98DF0FCA-F797-44A8-946E-A3F96D3D1D2E}">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29" authorId="0" shapeId="0" xr:uid="{34FB48E9-1B69-4E32-818D-B2D77053FE32}">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29" authorId="0" shapeId="0" xr:uid="{61D87C17-1B55-4AA0-931D-BB4F9AF95146}">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30" authorId="0" shapeId="0" xr:uid="{38AC55C9-6EE3-4240-9FDF-CF14E03C1EB1}">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30" authorId="0" shapeId="0" xr:uid="{510EE419-5A69-43D9-B0AC-8C4C62889EE1}">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30" authorId="0" shapeId="0" xr:uid="{7E7C04F8-CCC3-4570-9F93-7B5704384C5E}">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30" authorId="0" shapeId="0" xr:uid="{BB71AA2E-FD82-4A7C-BF04-40FA78A206FF}">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30" authorId="0" shapeId="0" xr:uid="{44879307-6EE0-4057-8185-981C79DB89BB}">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30" authorId="0" shapeId="0" xr:uid="{6774ECF4-B9F7-4236-AD4A-658B8AA92F74}">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30" authorId="0" shapeId="0" xr:uid="{8A1D1D03-082B-4587-8A74-EA0993AA9962}">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30" authorId="0" shapeId="0" xr:uid="{EFA6C981-5CB7-4ABA-8B34-0D6ACD94927E}">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30" authorId="0" shapeId="0" xr:uid="{48B9E73E-8DB9-4719-8FFB-F4B1C4E8A10D}">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30" authorId="0" shapeId="0" xr:uid="{8AE4C3FC-3D40-4557-AC80-1E9DECFC47F2}">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30" authorId="0" shapeId="0" xr:uid="{A54FEE18-FDE1-4502-B74C-88905BFECEA4}">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31" authorId="0" shapeId="0" xr:uid="{355F41E5-92F3-4E86-B92C-5382ACC169B0}">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31" authorId="0" shapeId="0" xr:uid="{6834C2A7-20E8-4236-A790-D991438530CC}">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31" authorId="0" shapeId="0" xr:uid="{BFCE5681-B815-43F8-BDF7-9268C145BBFA}">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31" authorId="0" shapeId="0" xr:uid="{316730C9-CBDB-47BF-9493-F8F9A64DE2F6}">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31" authorId="0" shapeId="0" xr:uid="{D1B94C8A-9AA6-4DC7-A01F-EC454449B0F2}">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31" authorId="0" shapeId="0" xr:uid="{E379AEDA-8244-4C4A-8FCA-06FA53FDCE0B}">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31" authorId="0" shapeId="0" xr:uid="{B9736777-3235-4A76-B5E0-01AB675EEFD3}">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31" authorId="0" shapeId="0" xr:uid="{CF860B58-3C17-49E3-9A7C-C7048D4EECBD}">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31" authorId="0" shapeId="0" xr:uid="{5339B2D5-80D7-4850-94C1-C9D6FD39CE21}">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31" authorId="0" shapeId="0" xr:uid="{67F36433-0962-4C5C-BD8A-81C76C5EDAD1}">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31" authorId="0" shapeId="0" xr:uid="{AB84489A-FCFB-4811-966D-655E50BBA761}">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32" authorId="0" shapeId="0" xr:uid="{595E033D-AD1B-4D4E-9203-E5E5F481F7E7}">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32" authorId="0" shapeId="0" xr:uid="{EF259B55-856F-4803-8249-91389F671F56}">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32" authorId="0" shapeId="0" xr:uid="{316D2A60-CB96-4F39-976B-3BC53F1735B4}">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32" authorId="0" shapeId="0" xr:uid="{619F9B93-B109-495F-ACA0-E50338289103}">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32" authorId="0" shapeId="0" xr:uid="{DAB03CEC-59ED-4972-B7B1-704770C2E1C9}">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32" authorId="0" shapeId="0" xr:uid="{8EF5A8C1-F66E-48ED-B3D8-873FF895EA65}">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32" authorId="0" shapeId="0" xr:uid="{AA050349-5039-4E5F-A6FF-EC70AAA15B21}">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32" authorId="0" shapeId="0" xr:uid="{9E1000E9-AB31-4D3C-827C-8FE7584D9F50}">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32" authorId="0" shapeId="0" xr:uid="{BB105588-66B0-4B84-AAF6-037DDD38E353}">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32" authorId="0" shapeId="0" xr:uid="{1F22699C-001A-4B0F-A8D8-454BEA37BC66}">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32" authorId="0" shapeId="0" xr:uid="{9D8821CA-ED1D-490C-9384-1E371E37E8BC}">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33" authorId="0" shapeId="0" xr:uid="{A3EAD699-569D-4D96-8D9A-BC7F358F3510}">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33" authorId="0" shapeId="0" xr:uid="{92901428-45C7-4EA3-BD2A-9918DABA7E91}">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33" authorId="0" shapeId="0" xr:uid="{E319EF50-F6BD-4F13-9380-56A143D1101A}">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33" authorId="0" shapeId="0" xr:uid="{090874B3-0BEA-4D56-85F2-6970EA174146}">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33" authorId="0" shapeId="0" xr:uid="{0E9F6DDC-B21D-4DBC-BEDA-85AF01DDDFF3}">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33" authorId="0" shapeId="0" xr:uid="{11FEC698-7D7E-43D8-AE63-A0B5C450E99E}">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33" authorId="0" shapeId="0" xr:uid="{BD8D2518-EC76-4116-99C4-D4C665465F21}">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33" authorId="0" shapeId="0" xr:uid="{C67461BA-A642-47C5-94F0-FF1C87A00197}">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33" authorId="0" shapeId="0" xr:uid="{4873C723-7CF5-45CE-9F93-52AF5A911ED0}">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33" authorId="0" shapeId="0" xr:uid="{2CF3C6ED-E038-4F44-9396-900A53A43B90}">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33" authorId="0" shapeId="0" xr:uid="{065C0F12-F238-46F1-94DA-D6FF51F1410B}">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34" authorId="0" shapeId="0" xr:uid="{6ABD9C5F-94CC-4726-96B1-7EA65F8DD1BE}">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34" authorId="0" shapeId="0" xr:uid="{26254E72-9E93-4FF6-9E6D-11D3F756D8D1}">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34" authorId="0" shapeId="0" xr:uid="{DD2BC654-3D6F-41A0-91A1-7345D1401710}">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34" authorId="0" shapeId="0" xr:uid="{14F47216-2F5B-41F2-BB27-E282A323867F}">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34" authorId="0" shapeId="0" xr:uid="{5F92D738-1BA9-4C59-B767-376340DFA1D5}">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34" authorId="0" shapeId="0" xr:uid="{A7F8D43F-DCB2-4758-B97A-DEA2A8B3EA11}">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34" authorId="0" shapeId="0" xr:uid="{4A913FEC-4020-4C15-BB51-FF623B0C7D7A}">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34" authorId="0" shapeId="0" xr:uid="{16445686-BF8D-4479-8622-D6144B9E1B20}">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34" authorId="0" shapeId="0" xr:uid="{408042B8-2091-4388-9A3B-CFF51957B272}">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34" authorId="0" shapeId="0" xr:uid="{3E87604D-FBD9-4081-8F2C-32556504914C}">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34" authorId="0" shapeId="0" xr:uid="{1B15DC88-FA32-403A-9C02-C89EBE66AA8B}">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35" authorId="0" shapeId="0" xr:uid="{A7CBE16E-A353-4FE2-8FEB-0974BBD59492}">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35" authorId="0" shapeId="0" xr:uid="{1EAF0172-C50F-4E0B-8076-2BC53A45CFB0}">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35" authorId="0" shapeId="0" xr:uid="{6F5F132D-FBEA-4A35-884F-14A2623E45D9}">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35" authorId="0" shapeId="0" xr:uid="{813BA2EB-3489-43E9-92E5-EFB78D1A22DA}">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35" authorId="0" shapeId="0" xr:uid="{589CA641-EB11-4BFF-97A5-7733AA6EFA18}">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35" authorId="0" shapeId="0" xr:uid="{FF70F41B-E476-4183-BAE4-C01956792E38}">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35" authorId="0" shapeId="0" xr:uid="{D500A159-C27A-4D07-81FE-2FBBCECE726E}">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35" authorId="0" shapeId="0" xr:uid="{68057573-7B36-457F-BBF7-AD58D4109DF6}">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35" authorId="0" shapeId="0" xr:uid="{B692E3E3-F794-49FF-BED2-8F2F919E1AE0}">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35" authorId="0" shapeId="0" xr:uid="{49DA0B5B-A827-4B54-884F-F6F7801F94A7}">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35" authorId="0" shapeId="0" xr:uid="{5B336C84-DFA1-4154-8F8A-81159BEF3425}">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36" authorId="0" shapeId="0" xr:uid="{2F6B1631-E58F-4649-8B56-F30A75416E6E}">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36" authorId="0" shapeId="0" xr:uid="{1F8B8028-1C4E-4B7B-803D-63BE0DBA54E1}">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36" authorId="0" shapeId="0" xr:uid="{7B54B627-D4F7-48CE-B4AC-242DAB0FC0C2}">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36" authorId="0" shapeId="0" xr:uid="{4D90924D-F693-4A3D-8721-86A3A7F08E3C}">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36" authorId="0" shapeId="0" xr:uid="{FAC2FE5F-D4D1-4886-9C08-D2A898F1B89F}">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36" authorId="0" shapeId="0" xr:uid="{232786C1-D8A2-4590-A50B-88B754A30329}">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36" authorId="0" shapeId="0" xr:uid="{E5C1BE59-AFE3-452D-92B9-66B9A23A8986}">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36" authorId="0" shapeId="0" xr:uid="{D6AB9814-0329-431E-A96A-D4027D662917}">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36" authorId="0" shapeId="0" xr:uid="{DC743975-3BE9-4912-B757-318AA548639F}">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36" authorId="0" shapeId="0" xr:uid="{010ABE8A-697C-4DC6-8980-419F307E9687}">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36" authorId="0" shapeId="0" xr:uid="{0673B9B4-F825-40F5-8784-DF60C93EA2DA}">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37" authorId="0" shapeId="0" xr:uid="{8E8BF8CD-F1E8-4B33-89C9-CC8390650F31}">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37" authorId="0" shapeId="0" xr:uid="{103FDD29-39E2-448E-8884-848BE656B609}">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37" authorId="0" shapeId="0" xr:uid="{2245138A-B6EC-4FAE-8E09-9F5EB5E6D74E}">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37" authorId="0" shapeId="0" xr:uid="{553CC596-7DD3-4B81-A511-15983B97A863}">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37" authorId="0" shapeId="0" xr:uid="{1F0938CA-FFAF-4047-AAB2-AAEEFEEF0210}">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37" authorId="0" shapeId="0" xr:uid="{3DE4BA5B-710C-4605-8DDE-1EDF6275ED6A}">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37" authorId="0" shapeId="0" xr:uid="{E92CC509-37BC-4697-80F8-52BD5A4014E6}">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37" authorId="0" shapeId="0" xr:uid="{88C46719-9044-44A3-9632-5248FC501E0E}">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37" authorId="0" shapeId="0" xr:uid="{13E4FB82-2412-4BF7-AC52-266845E36D02}">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37" authorId="0" shapeId="0" xr:uid="{17C79368-F51F-4428-9E2D-7998B8D6DE49}">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37" authorId="0" shapeId="0" xr:uid="{8E104A9E-D06E-4A14-8D20-45AB64FD0EC5}">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38" authorId="0" shapeId="0" xr:uid="{521D3C69-2362-4538-9E08-5E21349E8BC0}">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38" authorId="0" shapeId="0" xr:uid="{671A53B8-AECE-4ABA-8776-EEF2C856E229}">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38" authorId="0" shapeId="0" xr:uid="{8047D985-6A5E-40AB-80BB-56DDFDC46866}">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38" authorId="0" shapeId="0" xr:uid="{78B441A4-E780-4F75-808B-205C07C20800}">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38" authorId="0" shapeId="0" xr:uid="{801CEF23-AB1E-4511-9CD3-64E6A94A3B75}">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38" authorId="0" shapeId="0" xr:uid="{7D484761-53C6-4E78-8CC2-B442F90669E0}">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38" authorId="0" shapeId="0" xr:uid="{262058A9-9BAA-4D5A-A2A1-74F6EFB92E67}">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38" authorId="0" shapeId="0" xr:uid="{332A08EF-DA3F-4D47-A8C8-DF8B95B8F610}">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38" authorId="0" shapeId="0" xr:uid="{ED601414-4304-474B-9775-9CF2F9CFB752}">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38" authorId="0" shapeId="0" xr:uid="{60819AEF-6BFE-447F-8F14-5F357E7F293D}">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38" authorId="0" shapeId="0" xr:uid="{CECE6E63-70C9-4D5B-A170-98F6301EC9B7}">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39" authorId="0" shapeId="0" xr:uid="{5E3EFC4F-6914-4778-9AB1-E350D2BFF3B0}">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39" authorId="0" shapeId="0" xr:uid="{D297EDE5-30E8-4D98-9E76-B429EFD680CE}">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39" authorId="0" shapeId="0" xr:uid="{15CF4EC4-E939-4F01-98BB-C48909EE84E0}">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39" authorId="0" shapeId="0" xr:uid="{F06FFADE-4BAC-4309-B115-D432BB652ADC}">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39" authorId="0" shapeId="0" xr:uid="{B03129E4-F41C-468C-AAC7-BA6151A83585}">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39" authorId="0" shapeId="0" xr:uid="{1B432557-CB18-415A-AB5C-FB2DA1BDB157}">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39" authorId="0" shapeId="0" xr:uid="{E143DFE3-E439-4A3A-8542-15D5AB199371}">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39" authorId="0" shapeId="0" xr:uid="{44C8F246-96D8-489F-B8D1-8FC9A9131560}">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39" authorId="0" shapeId="0" xr:uid="{D4B02385-4E0C-4E95-8996-41BA302A46C3}">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39" authorId="0" shapeId="0" xr:uid="{113526BD-94F3-433F-A72C-4DB8AAD59035}">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39" authorId="0" shapeId="0" xr:uid="{AC5FCC42-C18B-4D4D-A95A-73DF69396F1E}">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40" authorId="0" shapeId="0" xr:uid="{5CCB203E-9B98-4379-8E26-6A57D256C0C8}">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40" authorId="0" shapeId="0" xr:uid="{C1636AD5-549A-4CC4-9BCE-227F14F025E3}">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40" authorId="0" shapeId="0" xr:uid="{8B1F7CA6-F0F7-4D4C-95A5-F3DEBCED1AB7}">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40" authorId="0" shapeId="0" xr:uid="{6453AD0C-FF36-4A1B-8D20-A16E8308FDD5}">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40" authorId="0" shapeId="0" xr:uid="{25444154-5159-479C-A690-B50DB039ECC6}">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40" authorId="0" shapeId="0" xr:uid="{34F4ADD6-F4F9-4E78-94D0-55382E5F9C63}">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40" authorId="0" shapeId="0" xr:uid="{58EEE31E-A7F3-49CC-AFD9-F219ACBC0835}">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40" authorId="0" shapeId="0" xr:uid="{1A181BEF-5863-4ACC-9BFA-A4F13069D478}">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40" authorId="0" shapeId="0" xr:uid="{919C063E-0377-461C-BAE9-52256B7337A7}">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40" authorId="0" shapeId="0" xr:uid="{A7B301EB-5553-4246-9EB1-A992A8323ED8}">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40" authorId="0" shapeId="0" xr:uid="{F085FD0C-CB5C-42DE-B6A2-D82CF957DFBA}">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41" authorId="0" shapeId="0" xr:uid="{F71C3B3B-F01D-429A-ABC0-1DF803D92D8C}">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41" authorId="0" shapeId="0" xr:uid="{48FAB239-FFD7-4F25-9601-BC8489077824}">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41" authorId="0" shapeId="0" xr:uid="{5A5E156C-BD41-4A7B-9D6B-848D873AC19B}">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41" authorId="0" shapeId="0" xr:uid="{97EFE775-EE81-4E85-B7FD-A8BC24D316A3}">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41" authorId="0" shapeId="0" xr:uid="{854E3E12-7E54-4FCE-9707-67EDE45247DC}">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41" authorId="0" shapeId="0" xr:uid="{3C08A082-EC72-4E59-940F-5248AB85D35A}">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41" authorId="0" shapeId="0" xr:uid="{2441808E-D03D-429C-8EA9-8A82D98412F7}">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41" authorId="0" shapeId="0" xr:uid="{B9016B93-C84D-4E09-81F8-7B922C4692BA}">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41" authorId="0" shapeId="0" xr:uid="{5F9A66A5-F6C3-4347-9DA8-21109A39EF7F}">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41" authorId="0" shapeId="0" xr:uid="{1E1904D8-6398-46C6-9C0B-2BCED87CE048}">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41" authorId="0" shapeId="0" xr:uid="{C19C511D-55E2-4FFF-9C4F-6E0ED4CE7B5C}">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42" authorId="0" shapeId="0" xr:uid="{CFC3427A-2486-45EA-9128-78A302AE5AC3}">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42" authorId="0" shapeId="0" xr:uid="{9285D03F-0C86-41A1-A669-5542DC84D010}">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42" authorId="0" shapeId="0" xr:uid="{2A43F0FF-CBBF-4DF9-8888-FAA0AC62E802}">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42" authorId="0" shapeId="0" xr:uid="{AAA1A8C6-8663-46BD-9625-549B37B5F9AA}">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42" authorId="0" shapeId="0" xr:uid="{26D409CF-7AEB-42A5-8887-B924D3D1738B}">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42" authorId="0" shapeId="0" xr:uid="{1E9A76B6-68DA-44F4-B248-9C4210D662D7}">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42" authorId="0" shapeId="0" xr:uid="{1F217B37-DA81-47F0-8C5C-9007965A9601}">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42" authorId="0" shapeId="0" xr:uid="{CB377FF4-D2ED-47E0-A896-2D164E651FEE}">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42" authorId="0" shapeId="0" xr:uid="{1414329C-9B6B-4013-AB0E-65A97CCCCF80}">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42" authorId="0" shapeId="0" xr:uid="{74B76D9A-2354-49FA-97CD-625EDD787CD5}">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42" authorId="0" shapeId="0" xr:uid="{662249E8-B929-425D-A6A9-96F40CB27955}">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43" authorId="0" shapeId="0" xr:uid="{CBA7DF12-78D1-4D29-866C-33ED64B826F7}">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43" authorId="0" shapeId="0" xr:uid="{E5BA9744-6E4F-433D-8124-0222E326B23F}">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43" authorId="0" shapeId="0" xr:uid="{F1A0C9EE-0A3C-42B3-ADDC-E5C272B1F8AF}">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43" authorId="0" shapeId="0" xr:uid="{E2D6A668-1814-409A-94FF-60676D7D0521}">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43" authorId="0" shapeId="0" xr:uid="{8FCF1B29-2189-44D7-B1ED-1D03C10C26A3}">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43" authorId="0" shapeId="0" xr:uid="{80CBD7BC-1398-4C63-B9F1-91AAAA27972B}">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43" authorId="0" shapeId="0" xr:uid="{4503E817-7563-4250-BAA9-4E69EF05F8BB}">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43" authorId="0" shapeId="0" xr:uid="{26676C28-C92F-483C-9D60-A36DE658608E}">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43" authorId="0" shapeId="0" xr:uid="{2CD08383-BD55-4BC5-B998-0C8B7DD2394F}">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43" authorId="0" shapeId="0" xr:uid="{5F3DC4C0-A41C-457C-81A4-B08924F117F4}">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43" authorId="0" shapeId="0" xr:uid="{D3A0DED2-4BA0-41CB-B5FB-FADBA850E034}">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44" authorId="0" shapeId="0" xr:uid="{5099C50F-E569-46F8-B2C3-ADC20622A938}">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44" authorId="0" shapeId="0" xr:uid="{8B01A13D-D2B6-435E-AEB5-ECF182AAED8D}">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44" authorId="0" shapeId="0" xr:uid="{42043522-465E-4F1F-A003-AE8BF19A63BB}">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44" authorId="0" shapeId="0" xr:uid="{AC85A2B1-33FB-41DC-90D8-ED59D467C179}">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44" authorId="0" shapeId="0" xr:uid="{44BE020F-92E5-4583-B6A0-581F342ACE0A}">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44" authorId="0" shapeId="0" xr:uid="{46D99D65-50C2-47F8-8CD3-A0AF25A4E24A}">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44" authorId="0" shapeId="0" xr:uid="{B0F00E2C-D979-4E01-A562-832765F931BB}">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44" authorId="0" shapeId="0" xr:uid="{89E8E94D-35E4-42BE-AB97-6510F8F6CD86}">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44" authorId="0" shapeId="0" xr:uid="{F1E1A686-499C-4C79-B903-1AC22A969A3D}">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44" authorId="0" shapeId="0" xr:uid="{9B1F09FA-A3A5-418D-96C1-61A467B1EF17}">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44" authorId="0" shapeId="0" xr:uid="{0A05BAAF-C132-4F95-B1E1-6B39E6E164C1}">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45" authorId="0" shapeId="0" xr:uid="{AAA9F7C2-36F9-4557-94F3-01355153FC23}">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45" authorId="0" shapeId="0" xr:uid="{7B0D3A0F-1E99-4E59-867D-084939CE301B}">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45" authorId="0" shapeId="0" xr:uid="{8A6FFB0E-773E-4996-BA84-06CA8079BE65}">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45" authorId="0" shapeId="0" xr:uid="{19D0FF6E-4E3F-4953-893D-0A2F6E012350}">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45" authorId="0" shapeId="0" xr:uid="{18EFC296-BB7C-4A07-BC79-17D0A1D51F3C}">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45" authorId="0" shapeId="0" xr:uid="{E71B0C97-1F80-431A-B4B4-26D71EC02E7E}">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45" authorId="0" shapeId="0" xr:uid="{9D82D745-3AC7-4393-9261-247F1DB751FA}">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45" authorId="0" shapeId="0" xr:uid="{4D401915-02C2-4AA8-97EA-E39B3835BE65}">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45" authorId="0" shapeId="0" xr:uid="{C091C7FD-41E6-4315-971A-0020315C0FF8}">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45" authorId="0" shapeId="0" xr:uid="{331E7C2B-C63D-4B68-B07E-85D6C87504EE}">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45" authorId="0" shapeId="0" xr:uid="{17C839D3-04EF-4CCD-B1BC-DEC41A35C82A}">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46" authorId="0" shapeId="0" xr:uid="{EDF2104A-BE6F-408C-B1E0-33ACD0C2F1C6}">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46" authorId="0" shapeId="0" xr:uid="{323F88B1-EDB1-493F-9438-309F9F08C430}">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46" authorId="0" shapeId="0" xr:uid="{A0BB0086-AF36-4620-B09C-F93CEF686133}">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46" authorId="0" shapeId="0" xr:uid="{CB9E2A90-F7B5-499C-94D4-FDB9706D2579}">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46" authorId="0" shapeId="0" xr:uid="{567ECB6D-F930-4511-9A0D-1F7A2D9A02A8}">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46" authorId="0" shapeId="0" xr:uid="{F82AB86C-7E5C-4133-809D-E5B881B05CDE}">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46" authorId="0" shapeId="0" xr:uid="{28EA7200-F402-4D7E-80F5-A96B86E0D7D0}">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46" authorId="0" shapeId="0" xr:uid="{3CC21C20-A80B-491A-BEE4-3089179D175F}">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46" authorId="0" shapeId="0" xr:uid="{4E6DAEAE-60CD-4CC4-AD57-C488018316B1}">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46" authorId="0" shapeId="0" xr:uid="{48E7D7D7-5CAC-4451-9C01-2EE216C46F10}">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46" authorId="0" shapeId="0" xr:uid="{1C6CFF3F-91B7-492F-8C82-D269B94C7159}">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47" authorId="0" shapeId="0" xr:uid="{3689ABD4-F817-40D9-ABA7-CC0B11CCFA8C}">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47" authorId="0" shapeId="0" xr:uid="{3DD6CC56-1AB0-4D77-8FB4-2A5102A1FB4D}">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47" authorId="0" shapeId="0" xr:uid="{542C4B0F-6180-4FE0-A224-94409174E61C}">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47" authorId="0" shapeId="0" xr:uid="{563B0DBB-933B-4F0A-AD6C-3FD4667DAFA8}">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47" authorId="0" shapeId="0" xr:uid="{5DC65F38-1D39-4C30-B63D-40191BED1FE0}">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47" authorId="0" shapeId="0" xr:uid="{0F7EB43A-6050-469B-8AB9-580C1E536F67}">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47" authorId="0" shapeId="0" xr:uid="{D05D223A-8A88-4496-AC2C-9F2E1938332A}">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47" authorId="0" shapeId="0" xr:uid="{77AD2709-DDBD-48D0-A168-6037DD871D0B}">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47" authorId="0" shapeId="0" xr:uid="{A80FBB88-06A2-4003-BF9F-04D9ED6F211B}">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47" authorId="0" shapeId="0" xr:uid="{6D509B16-FC0F-4519-A034-5337ABBDF8D5}">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47" authorId="0" shapeId="0" xr:uid="{3103A6C4-C80A-4307-A15F-90C4BD43DBFB}">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48" authorId="0" shapeId="0" xr:uid="{E426B877-520D-4512-97BA-1E99AAFF37A7}">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48" authorId="0" shapeId="0" xr:uid="{FCEE3FD5-301D-4F37-B20E-B1B293B4A89A}">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48" authorId="0" shapeId="0" xr:uid="{560CC18D-D372-43AE-95D8-A24E286DE739}">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48" authorId="0" shapeId="0" xr:uid="{E0419B7B-FD61-4299-A883-FA07CFBC0011}">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48" authorId="0" shapeId="0" xr:uid="{AEFC9BD1-BCE1-406C-B3F6-08BE71F58DB0}">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48" authorId="0" shapeId="0" xr:uid="{9AFBDB42-3992-4760-9350-8E63B474F2FA}">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48" authorId="0" shapeId="0" xr:uid="{592A57F6-90BD-4AC1-8058-70DE720C1419}">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48" authorId="0" shapeId="0" xr:uid="{BA734412-EB01-4FDB-ABAB-DDE3176611DF}">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48" authorId="0" shapeId="0" xr:uid="{D9A69006-3350-42CE-9547-0E7491EA1942}">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48" authorId="0" shapeId="0" xr:uid="{D7155B97-0AB0-4A45-A29A-C230821B0C5D}">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48" authorId="0" shapeId="0" xr:uid="{0ECE209B-8A27-4830-A746-2DF1F422EB4E}">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49" authorId="0" shapeId="0" xr:uid="{084CE847-45CF-411D-9DA3-9CBE7D7C7C21}">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49" authorId="0" shapeId="0" xr:uid="{5CA0BFD6-99D9-4397-B03C-2B0D52495D20}">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49" authorId="0" shapeId="0" xr:uid="{21EC2F48-E4F6-4B52-B4F0-A440A5BD0C68}">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49" authorId="0" shapeId="0" xr:uid="{DEDEA092-15DE-441F-BFB1-E388E7D8D0DC}">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49" authorId="0" shapeId="0" xr:uid="{1B2BF7A4-CC7E-4B5D-BF07-21031FF87DB6}">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49" authorId="0" shapeId="0" xr:uid="{214A75C8-92DF-4ED1-B506-98F9C3778884}">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49" authorId="0" shapeId="0" xr:uid="{12F3685A-D2FF-456C-8AEA-7E0A3DD9A716}">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49" authorId="0" shapeId="0" xr:uid="{CB24C88F-00D7-4F3C-8432-00554586CD5E}">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49" authorId="0" shapeId="0" xr:uid="{68AE1F9F-0288-4B3F-8147-0D07BABF1A55}">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49" authorId="0" shapeId="0" xr:uid="{E173F2B5-A455-4B2F-A9D2-A376E89850FE}">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49" authorId="0" shapeId="0" xr:uid="{51337D4C-63F7-429B-B5AF-D99AE2B0F04B}">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50" authorId="0" shapeId="0" xr:uid="{6A78593D-97E2-429F-8BF7-AA0961501DA7}">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50" authorId="0" shapeId="0" xr:uid="{CC736D3D-16FA-4829-81D9-A0E4E33B355A}">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50" authorId="0" shapeId="0" xr:uid="{060D8136-CE4E-49BA-B3BD-FEE5262D7087}">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50" authorId="0" shapeId="0" xr:uid="{47344BE5-9B09-4BA0-87CF-F6D8C8BA4D75}">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50" authorId="0" shapeId="0" xr:uid="{1DD64431-1569-48C4-8EDD-858EF0EE0B93}">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50" authorId="0" shapeId="0" xr:uid="{8767D10F-1B89-4E48-945F-461A855F20CE}">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50" authorId="0" shapeId="0" xr:uid="{0FF98D49-271E-4A6F-8D08-79EF309DC941}">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50" authorId="0" shapeId="0" xr:uid="{0E6816BC-C90D-4D84-9B58-3484A18FF263}">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50" authorId="0" shapeId="0" xr:uid="{CB9BC015-9D39-4663-ACA9-FF73C49AAD5E}">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50" authorId="0" shapeId="0" xr:uid="{3EF55485-1B33-419A-9DA5-0279BCBC9987}">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50" authorId="0" shapeId="0" xr:uid="{18D7E88D-EA39-4BE1-B2CF-AB5377EBC977}">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51" authorId="0" shapeId="0" xr:uid="{549536E8-3791-4D39-8705-50AA335D4E0D}">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51" authorId="0" shapeId="0" xr:uid="{94CD2CA5-5CC0-4E33-A127-468480F187B5}">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51" authorId="0" shapeId="0" xr:uid="{6377C163-745B-4FA4-B69C-9B738C9A0FF2}">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51" authorId="0" shapeId="0" xr:uid="{7485C143-005F-42D4-BBDD-645A02B75370}">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51" authorId="0" shapeId="0" xr:uid="{C403D6D2-BFC6-4375-9A98-B239B9E70B13}">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51" authorId="0" shapeId="0" xr:uid="{A8B43A93-20B9-4B20-881E-5697A6676659}">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51" authorId="0" shapeId="0" xr:uid="{B5BAC1CF-9344-41A2-A6C6-67CBB8158EC3}">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51" authorId="0" shapeId="0" xr:uid="{E06967D5-26F5-4024-B1C4-D87209C61F6D}">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51" authorId="0" shapeId="0" xr:uid="{1730EB95-6CF8-4A1F-9350-B4765316C9B4}">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51" authorId="0" shapeId="0" xr:uid="{1E04DCE7-EA6D-4820-AC01-66442ECE029C}">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51" authorId="0" shapeId="0" xr:uid="{60A5FE59-8821-4548-90D2-3296C6461D42}">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52" authorId="0" shapeId="0" xr:uid="{178FC926-E5A0-4F10-B2AA-172AF85D474B}">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52" authorId="0" shapeId="0" xr:uid="{A91C71FC-DEF0-4047-9985-EAD0A6D75010}">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52" authorId="0" shapeId="0" xr:uid="{3AD14823-FAF5-4225-A17B-D2D39AEB01FB}">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52" authorId="0" shapeId="0" xr:uid="{5AF576DC-4CE9-4131-BCA8-DBF6633E6579}">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52" authorId="0" shapeId="0" xr:uid="{0B12D4C1-028E-4D2F-88F3-CCEA6977C5E7}">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52" authorId="0" shapeId="0" xr:uid="{7E87E1E7-B381-4F62-A136-5C1467C31448}">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52" authorId="0" shapeId="0" xr:uid="{5E1C7E75-411F-4116-B015-D091ABA30D90}">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52" authorId="0" shapeId="0" xr:uid="{B18B39A6-9F0A-4A7C-AEEF-69AFAC9130DA}">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52" authorId="0" shapeId="0" xr:uid="{84B9C23F-E970-4630-8B5A-15F0CF296054}">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52" authorId="0" shapeId="0" xr:uid="{7829491C-C9B7-45D5-A950-C34BC1409026}">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52" authorId="0" shapeId="0" xr:uid="{CB6A2D06-E391-492F-87F7-735FD28E4B75}">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53" authorId="0" shapeId="0" xr:uid="{CFC5269C-A634-498E-BA1E-77A94F414DA0}">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53" authorId="0" shapeId="0" xr:uid="{30BB1263-1F35-429D-B72C-093139D38982}">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53" authorId="0" shapeId="0" xr:uid="{FFDF3A7E-2423-4E52-A40B-6D1B620D5C81}">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53" authorId="0" shapeId="0" xr:uid="{81385EBF-0FD0-419D-9937-F2C55F7D0BA1}">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53" authorId="0" shapeId="0" xr:uid="{DA68051E-4951-48BD-862D-BCAABCACAFAF}">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53" authorId="0" shapeId="0" xr:uid="{77AE1380-1EC7-4CDD-9A10-B2D680FBF72E}">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53" authorId="0" shapeId="0" xr:uid="{AA44683D-C9CF-444A-B612-44E3B68D4B6D}">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53" authorId="0" shapeId="0" xr:uid="{CC1E0FEA-03FD-4ECE-BCCC-BF41B769690D}">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53" authorId="0" shapeId="0" xr:uid="{AB12EAF5-72DA-4F4D-85DE-22BF4213795E}">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53" authorId="0" shapeId="0" xr:uid="{F1E96A74-E9BF-4327-B10E-F921764628D0}">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53" authorId="0" shapeId="0" xr:uid="{25E0F297-41C6-48BA-A50C-D22AD0CABF8E}">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54" authorId="0" shapeId="0" xr:uid="{C198BE35-6906-4B77-B655-0EA4780CEBFF}">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54" authorId="0" shapeId="0" xr:uid="{5D9051C9-4DE9-46C9-A41B-406638FF1A0B}">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54" authorId="0" shapeId="0" xr:uid="{A04CA48B-A179-4A91-93A0-F07CA60C5FA6}">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54" authorId="0" shapeId="0" xr:uid="{9CA3876F-D6DE-4639-9356-358D98423EFC}">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54" authorId="0" shapeId="0" xr:uid="{8D15FCA6-669B-46D9-AE2A-73E448CEA31D}">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54" authorId="0" shapeId="0" xr:uid="{41415792-304F-43CD-BADF-CA650300C9DF}">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54" authorId="0" shapeId="0" xr:uid="{B92A5725-EB40-4609-BB46-6129FDD98FA8}">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54" authorId="0" shapeId="0" xr:uid="{1ED47459-B64D-41EE-93BB-9583EA25E5AC}">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54" authorId="0" shapeId="0" xr:uid="{8C8592C8-42E9-4D73-958E-98547BB42D1E}">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54" authorId="0" shapeId="0" xr:uid="{4DAC0642-A1BD-41B5-9BBF-8852E2E4CF76}">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54" authorId="0" shapeId="0" xr:uid="{56EA5DD3-3E27-43B0-BA96-8D5E0ABDB8DA}">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55" authorId="0" shapeId="0" xr:uid="{E968CC95-FFE2-4E85-82E4-ADB694EAB5DB}">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55" authorId="0" shapeId="0" xr:uid="{A7EE7CD2-FA28-4AD3-90E1-C9249246175D}">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55" authorId="0" shapeId="0" xr:uid="{F38B18B9-44E0-4F42-96DD-FDA2FD4E2661}">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55" authorId="0" shapeId="0" xr:uid="{00000000-0006-0000-0000-0000FF000000}">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55" authorId="0" shapeId="0" xr:uid="{6D4EB997-AB2D-41C1-BD8E-2395F8479492}">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55" authorId="0" shapeId="0" xr:uid="{00000000-0006-0000-0000-000001010000}">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55" authorId="0" shapeId="0" xr:uid="{00000000-0006-0000-0000-000002010000}">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55" authorId="0" shapeId="0" xr:uid="{00000000-0006-0000-0000-000003010000}">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55" authorId="0" shapeId="0" xr:uid="{00000000-0006-0000-0000-000004010000}">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55" authorId="0" shapeId="0" xr:uid="{00000000-0006-0000-0000-000005010000}">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55" authorId="0" shapeId="0" xr:uid="{588B7FDB-2508-4E4E-9822-2D2C8415BF5F}">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56" authorId="0" shapeId="0" xr:uid="{4581DD28-5CD7-4BD2-8BA5-FEA44E76EDF7}">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56" authorId="0" shapeId="0" xr:uid="{10038B14-12B5-4919-A524-58C7AA34ABFF}">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56" authorId="0" shapeId="0" xr:uid="{D00BDDA1-5900-46BF-99BF-5CF2E7256182}">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56" authorId="0" shapeId="0" xr:uid="{E2D36CB9-7120-4D86-9A08-4773EACD3798}">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56" authorId="0" shapeId="0" xr:uid="{EB3AA491-572E-4690-AA3E-03F71591D040}">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56" authorId="0" shapeId="0" xr:uid="{53002D17-5EED-4C73-8667-7C43A0FDD9F8}">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56" authorId="0" shapeId="0" xr:uid="{CCEC6B95-9E39-42DF-B943-C3F38FFDC529}">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56" authorId="0" shapeId="0" xr:uid="{2ED7F4D0-2896-494F-9087-B30F2330837F}">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56" authorId="0" shapeId="0" xr:uid="{D04A3B3B-5F58-4D30-964D-F4B6BD771777}">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56" authorId="0" shapeId="0" xr:uid="{B90ECDDD-FAF8-4A70-A486-73069F635B63}">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56" authorId="0" shapeId="0" xr:uid="{B1264059-CA26-4417-93F1-54CF328D1B7D}">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57" authorId="0" shapeId="0" xr:uid="{CF6582EC-176F-4205-B26E-BFE41B531DD2}">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57" authorId="0" shapeId="0" xr:uid="{B683F22E-9B2F-4D77-9966-BDD26486EBBD}">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57" authorId="0" shapeId="0" xr:uid="{4414B09F-6CDB-4910-8674-2389493440D1}">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57" authorId="0" shapeId="0" xr:uid="{5634D2D3-7B29-4A4D-B0B9-EC914EC4B8EE}">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57" authorId="0" shapeId="0" xr:uid="{DE24828F-9025-43AB-A561-CABC0ED06795}">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57" authorId="0" shapeId="0" xr:uid="{BD505283-09CA-4BB7-9839-B9A9FEB0C40D}">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57" authorId="0" shapeId="0" xr:uid="{1DD743E3-6635-4564-B949-962AD24034C4}">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57" authorId="0" shapeId="0" xr:uid="{E24DB19D-ADF3-4276-9DE3-15B696527C5B}">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57" authorId="0" shapeId="0" xr:uid="{5D1269C2-56F6-4450-8EC5-74EE384C705A}">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57" authorId="0" shapeId="0" xr:uid="{FCA47603-C771-4E95-97F1-43E22D9518D7}">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57" authorId="0" shapeId="0" xr:uid="{87FC6B49-7412-418A-AF17-940806CCAE78}">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58" authorId="0" shapeId="0" xr:uid="{76F26863-B466-42F7-8B73-83149FDB5219}">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58" authorId="0" shapeId="0" xr:uid="{96E8280B-12F3-4D45-8FA0-B74F4E4E3097}">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58" authorId="0" shapeId="0" xr:uid="{44D58763-DCE8-4109-A668-36367D969FB1}">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58" authorId="0" shapeId="0" xr:uid="{585F043C-A3A8-4F3D-A2BC-4CF28FBEF72E}">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58" authorId="0" shapeId="0" xr:uid="{85C3A2F0-A14B-4625-AEB6-AC6B26AE982D}">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58" authorId="0" shapeId="0" xr:uid="{AE77529B-BE95-4BC0-8906-17E6729DFF58}">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58" authorId="0" shapeId="0" xr:uid="{1BFD6480-B58F-4EC8-A1A6-7819E3432F33}">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58" authorId="0" shapeId="0" xr:uid="{55A2B4AA-EB13-4169-B17F-E22E39A687FB}">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58" authorId="0" shapeId="0" xr:uid="{9CA0C09B-88E7-4A2E-A94B-C1C96BF92484}">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58" authorId="0" shapeId="0" xr:uid="{D9FE085D-E2DF-4341-AD42-6E2464341A76}">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58" authorId="0" shapeId="0" xr:uid="{EE3F6A07-9AFF-477E-A51B-1A7AB8D3641E}">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D59" authorId="0" shapeId="0" xr:uid="{96405BD9-C4EB-4DAA-A20E-C2AD92732A52}">
      <text>
        <r>
          <rPr>
            <b/>
            <sz val="12"/>
            <color indexed="81"/>
            <rFont val="Tahoma"/>
            <family val="2"/>
          </rPr>
          <t xml:space="preserve">Jmenovitý proud obvodu Inc:
</t>
        </r>
        <r>
          <rPr>
            <sz val="12"/>
            <color indexed="81"/>
            <rFont val="Tahoma"/>
            <family val="2"/>
            <charset val="238"/>
          </rPr>
          <t>Zde je nutné zadat proud, který má vést tímto obvodem. Nejedná o jmenovitý proud přístroje ale o proud, pro který musí být tento obvod dimenzovaný aniž by oteplení překročilo meze stanovené v 9.2 dle ČSN EN IEC 61439-1.</t>
        </r>
        <r>
          <rPr>
            <b/>
            <sz val="12"/>
            <color indexed="81"/>
            <rFont val="Tahoma"/>
            <family val="2"/>
          </rPr>
          <t xml:space="preserve">
</t>
        </r>
        <r>
          <rPr>
            <sz val="12"/>
            <color indexed="81"/>
            <rFont val="Tahoma"/>
            <family val="2"/>
          </rPr>
          <t xml:space="preserve">
</t>
        </r>
      </text>
    </comment>
    <comment ref="E59" authorId="0" shapeId="0" xr:uid="{E41C7D2C-F157-4754-A978-ED57853F9F26}">
      <text>
        <r>
          <rPr>
            <b/>
            <sz val="14"/>
            <color indexed="81"/>
            <rFont val="Tahoma"/>
            <family val="2"/>
          </rPr>
          <t xml:space="preserve">Jmenovitý činitel nesoudobosti (RDF):
</t>
        </r>
        <r>
          <rPr>
            <sz val="14"/>
            <color indexed="81"/>
            <rFont val="Tahoma"/>
            <family val="2"/>
            <charset val="238"/>
          </rPr>
          <t xml:space="preserve">je poměrná hodnota (faktor), kterou může být vývodní obvod trvale zatěžován se zřetelem na vzájemné tepelné ovlivňování.
Pokud zadavatel nepožaduje jiné hodnoty, lze převzít následující údaje dle tabulky 101 - Hodnoty předpokládaného zatížení z ČSN EN IEC 61439-2:
</t>
        </r>
        <r>
          <rPr>
            <b/>
            <sz val="14"/>
            <color indexed="81"/>
            <rFont val="Tahoma"/>
            <family val="2"/>
            <charset val="238"/>
          </rPr>
          <t>1,0</t>
        </r>
        <r>
          <rPr>
            <sz val="14"/>
            <color indexed="81"/>
            <rFont val="Tahoma"/>
            <family val="2"/>
            <charset val="238"/>
          </rPr>
          <t xml:space="preserve">  - pro motory &gt; 100kW 
</t>
        </r>
        <r>
          <rPr>
            <b/>
            <sz val="14"/>
            <color indexed="81"/>
            <rFont val="Tahoma"/>
            <family val="2"/>
            <charset val="238"/>
          </rPr>
          <t>0,9</t>
        </r>
        <r>
          <rPr>
            <sz val="14"/>
            <color indexed="81"/>
            <rFont val="Tahoma"/>
            <family val="2"/>
            <charset val="238"/>
          </rPr>
          <t xml:space="preserve">  - 2 a 3 obvody na pole
</t>
        </r>
        <r>
          <rPr>
            <b/>
            <sz val="14"/>
            <color indexed="81"/>
            <rFont val="Tahoma"/>
            <family val="2"/>
            <charset val="238"/>
          </rPr>
          <t>0,8</t>
        </r>
        <r>
          <rPr>
            <sz val="14"/>
            <color indexed="81"/>
            <rFont val="Tahoma"/>
            <family val="2"/>
            <charset val="238"/>
          </rPr>
          <t xml:space="preserve">  - pro motory ≤ 100kW
</t>
        </r>
        <r>
          <rPr>
            <b/>
            <sz val="14"/>
            <color indexed="81"/>
            <rFont val="Tahoma"/>
            <family val="2"/>
            <charset val="238"/>
          </rPr>
          <t>0,8</t>
        </r>
        <r>
          <rPr>
            <sz val="14"/>
            <color indexed="81"/>
            <rFont val="Tahoma"/>
            <family val="2"/>
            <charset val="238"/>
          </rPr>
          <t xml:space="preserve">  - 4 a 5 obvodů na pole
</t>
        </r>
        <r>
          <rPr>
            <b/>
            <sz val="14"/>
            <color indexed="81"/>
            <rFont val="Tahoma"/>
            <family val="2"/>
            <charset val="238"/>
          </rPr>
          <t>0,7</t>
        </r>
        <r>
          <rPr>
            <sz val="14"/>
            <color indexed="81"/>
            <rFont val="Tahoma"/>
            <family val="2"/>
            <charset val="238"/>
          </rPr>
          <t xml:space="preserve">  - 6 až 9 obvodů na pole
</t>
        </r>
        <r>
          <rPr>
            <b/>
            <sz val="14"/>
            <color indexed="81"/>
            <rFont val="Tahoma"/>
            <family val="2"/>
            <charset val="238"/>
          </rPr>
          <t>0,6</t>
        </r>
        <r>
          <rPr>
            <sz val="14"/>
            <color indexed="81"/>
            <rFont val="Tahoma"/>
            <family val="2"/>
            <charset val="238"/>
          </rPr>
          <t xml:space="preserve">  - 10 a více obvodů na pole
</t>
        </r>
        <r>
          <rPr>
            <b/>
            <sz val="14"/>
            <color indexed="81"/>
            <rFont val="Tahoma"/>
            <family val="2"/>
            <charset val="238"/>
          </rPr>
          <t>0,2</t>
        </r>
        <r>
          <rPr>
            <sz val="14"/>
            <color indexed="81"/>
            <rFont val="Tahoma"/>
            <family val="2"/>
            <charset val="238"/>
          </rPr>
          <t xml:space="preserve">  - ovládací obvody</t>
        </r>
        <r>
          <rPr>
            <sz val="8"/>
            <color indexed="81"/>
            <rFont val="Tahoma"/>
            <family val="2"/>
          </rPr>
          <t xml:space="preserve">
</t>
        </r>
      </text>
    </comment>
    <comment ref="G59" authorId="0" shapeId="0" xr:uid="{7826F02A-AA98-462B-95CF-113CAB27F2A6}">
      <text>
        <r>
          <rPr>
            <b/>
            <sz val="12"/>
            <color indexed="81"/>
            <rFont val="Tahoma"/>
            <family val="2"/>
          </rPr>
          <t xml:space="preserve">Jmenovitý proud ochranného přístroje In:
</t>
        </r>
        <r>
          <rPr>
            <sz val="12"/>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text>
    </comment>
    <comment ref="H59" authorId="0" shapeId="0" xr:uid="{2C0EFE1B-1717-4159-8602-1D0032E47E60}">
      <text>
        <r>
          <rPr>
            <b/>
            <sz val="14"/>
            <color indexed="81"/>
            <rFont val="Tahoma"/>
            <family val="2"/>
          </rPr>
          <t xml:space="preserve">Ztrátový výkon hlavních kontaktů:
</t>
        </r>
        <r>
          <rPr>
            <sz val="14"/>
            <color indexed="81"/>
            <rFont val="Tahoma"/>
            <family val="2"/>
            <charset val="238"/>
          </rPr>
          <t xml:space="preserve">Zde se zádává ztrátový výkon jenoho pólu použitého přístroje.
Výpočet celkového ztrátového výkonu se provádí násobením zadaného počtu pólů ze sloupce C.
Tato výkonová ztráta odpovídá reálné hodně dle zadaného Inc.
</t>
        </r>
        <r>
          <rPr>
            <sz val="14"/>
            <color indexed="81"/>
            <rFont val="Tahoma"/>
            <family val="2"/>
          </rPr>
          <t xml:space="preserve">
</t>
        </r>
      </text>
    </comment>
    <comment ref="I59" authorId="0" shapeId="0" xr:uid="{9BB811DE-8E52-4227-8F0A-7A463DC65F9F}">
      <text>
        <r>
          <rPr>
            <b/>
            <sz val="11"/>
            <color indexed="81"/>
            <rFont val="Tahoma"/>
            <family val="2"/>
          </rPr>
          <t xml:space="preserve">Jmenovitý proud ochranného přístroje In:
</t>
        </r>
        <r>
          <rPr>
            <sz val="11"/>
            <color indexed="81"/>
            <rFont val="Tahoma"/>
            <family val="2"/>
            <charset val="238"/>
          </rPr>
          <t xml:space="preserve">Zde se zadává jmenovitý proud přístroje.
Pokud je pozadí buňky červené, překračuje jmenovitý proud obvodu Inc 80% jmenovitého proudu ochranného přístroje  (viz. také část 10.10.4.3.1  c), dle ČSN EN IEC 61439-1) </t>
        </r>
        <r>
          <rPr>
            <sz val="11"/>
            <color indexed="81"/>
            <rFont val="Tahoma"/>
            <family val="2"/>
          </rPr>
          <t xml:space="preserve">
</t>
        </r>
      </text>
    </comment>
    <comment ref="J59" authorId="0" shapeId="0" xr:uid="{0D376742-8172-4A64-8041-4D2207BD903E}">
      <text>
        <r>
          <rPr>
            <b/>
            <sz val="14"/>
            <color indexed="81"/>
            <rFont val="Tahoma"/>
            <family val="2"/>
          </rPr>
          <t xml:space="preserve">Ztrátový výkon hlavních kontaktů:
</t>
        </r>
        <r>
          <rPr>
            <sz val="14"/>
            <color indexed="81"/>
            <rFont val="Tahoma"/>
            <family val="2"/>
            <charset val="238"/>
          </rPr>
          <t>Zde se zádává ztrátový výkon jenoho pólu použitého přístroje.
Výpočet celkového ztrátového výkonu se provádí násobením zadaného počtu pólů ze sloupce C.</t>
        </r>
        <r>
          <rPr>
            <sz val="14"/>
            <color indexed="81"/>
            <rFont val="Tahoma"/>
            <family val="2"/>
          </rPr>
          <t xml:space="preserve">
Tato výkonová ztráta odpovídá reálné hodně dle zadaného Inc.</t>
        </r>
      </text>
    </comment>
    <comment ref="K59" authorId="0" shapeId="0" xr:uid="{E4880301-C81A-4194-8860-6911715684D6}">
      <text>
        <r>
          <rPr>
            <b/>
            <sz val="14"/>
            <color indexed="81"/>
            <rFont val="Tahoma"/>
            <family val="2"/>
          </rPr>
          <t xml:space="preserve">Ztrátový výkon cívky, frekvenčního měniče, atd.:
</t>
        </r>
        <r>
          <rPr>
            <sz val="14"/>
            <color indexed="81"/>
            <rFont val="Tahoma"/>
            <family val="2"/>
            <charset val="238"/>
          </rPr>
          <t xml:space="preserve">
Do této buňky lze zadávat ztrátový výkon nezávislý na proudu, jako např. ztrátový výkon cívky, frekvenčního měniče nebo jiné trvalé zátěže.</t>
        </r>
        <r>
          <rPr>
            <b/>
            <sz val="14"/>
            <color indexed="81"/>
            <rFont val="Tahoma"/>
            <family val="2"/>
          </rPr>
          <t xml:space="preserve">
</t>
        </r>
      </text>
    </comment>
    <comment ref="L59" authorId="0" shapeId="0" xr:uid="{E3A49735-D6E3-472A-A10D-6474AC6987A1}">
      <text>
        <r>
          <rPr>
            <b/>
            <sz val="12"/>
            <color indexed="81"/>
            <rFont val="Tahoma"/>
            <family val="2"/>
          </rPr>
          <t xml:space="preserve">Počet vodičů:
</t>
        </r>
        <r>
          <rPr>
            <sz val="12"/>
            <color indexed="81"/>
            <rFont val="Tahoma"/>
            <family val="2"/>
            <charset val="238"/>
          </rPr>
          <t>Zde se zadává počet vodičů, které jsou zatíženy při samotném zatížení obvodu.</t>
        </r>
      </text>
    </comment>
    <comment ref="M59" authorId="0" shapeId="0" xr:uid="{E722E878-C6C6-4C7D-975D-189FB7E7B5D0}">
      <text>
        <r>
          <rPr>
            <b/>
            <sz val="12"/>
            <color indexed="81"/>
            <rFont val="Tahoma"/>
            <family val="2"/>
          </rPr>
          <t xml:space="preserve">Možné varianty pro uspořádání vodičů
</t>
        </r>
        <r>
          <rPr>
            <sz val="12"/>
            <color indexed="81"/>
            <rFont val="Tahoma"/>
            <family val="2"/>
            <charset val="238"/>
          </rPr>
          <t>1 = jednožilové vodiče v uzavřeném kanálu
2 = jednožilové vodiče v děrované kabelové lávce
3 = jednožilové vodiče volně ložené s odstupem o průměru vodiče
4 = Hlavní přípojnicový systém</t>
        </r>
      </text>
    </comment>
    <comment ref="N59" authorId="0" shapeId="0" xr:uid="{9A101636-F0FE-41E9-8765-356AC18DBB28}">
      <text>
        <r>
          <rPr>
            <b/>
            <sz val="12"/>
            <color indexed="81"/>
            <rFont val="Tahoma"/>
            <family val="2"/>
          </rPr>
          <t xml:space="preserve">Délka vodiče jednoho obvodu:
</t>
        </r>
        <r>
          <rPr>
            <sz val="12"/>
            <color indexed="81"/>
            <rFont val="Tahoma"/>
            <family val="2"/>
            <charset val="238"/>
          </rPr>
          <t>Do této buňky se zadává délka vodiče jmenovaného obvodu uvnitř rozváděče. Délka vodiče je zohledňovaná ve výpočtu ztrátového výkonu.</t>
        </r>
      </text>
    </comment>
    <comment ref="O59" authorId="0" shapeId="0" xr:uid="{39F6F645-ABDF-4FB3-87B9-C0EC1C3F725E}">
      <text>
        <r>
          <rPr>
            <b/>
            <sz val="12"/>
            <color indexed="81"/>
            <rFont val="Tahoma"/>
            <family val="2"/>
          </rPr>
          <t xml:space="preserve">Možnost volby:
</t>
        </r>
        <r>
          <rPr>
            <sz val="12"/>
            <color indexed="81"/>
            <rFont val="Tahoma"/>
            <family val="2"/>
            <charset val="238"/>
          </rPr>
          <t>Tato tabulka navrhuje průřez v závislosti na Inc a uspořádání vodičů. Uživatel však může zadat průřez také manuálně výběrem z níže uvedených možností. (Dimenzování průřezu je však nutné provést minimálně na 125% jmenovitého proudu Inc)
Při uspořádání vodičů 1:  
1,5 - 120 mm²
Při uspořádání vodičů 2: 
1,5 - 240 mm²
Při uspořádání vodičů 3: 
1,5 - 240 mm²
Lamelové měděné přípojnice 8x6x0,5, 6x9x0,8, 4x15,5x0,8, 6x15,5x0,8, 5x20x1, 10x15,5x0,8, 
5x24x1, 5x32x1, 10x24x1, 5x40x1, 5x50x1, 10x32x1, 10x40x1, 10x50x1, 10x63x1, 
2x 10x32x1, 2x 10x40x1, 2x 10x50x1, 2x 10x63x1
Při uspořádání vodičů 4:
Pevné měděné přípojnice
12x5, 12x10, 15x5, 15x10, 20x5, 20x10, 25x5, 30x5, 30x10, 40x5, 40x10, 50x10, 60x10, 80x10, 
2x40x10, 2x50x10, 2x60x10, 2x80x10
Jističové propojovací lišty (přípojnice)
10x1, 16x1</t>
        </r>
      </text>
    </comment>
    <comment ref="R65" authorId="0" shapeId="0" xr:uid="{00000000-0006-0000-0000-000033010000}">
      <text>
        <r>
          <rPr>
            <b/>
            <sz val="12"/>
            <color indexed="81"/>
            <rFont val="Tahoma"/>
            <family val="2"/>
          </rPr>
          <t>Teplota uvnitř skříně: 
Pokud je pole červeně podbarveno, očekávaná vnitřní teplota překračuje výše uvedenou maximální přípustnou teplotu uvnitř rozváděče.</t>
        </r>
      </text>
    </comment>
    <comment ref="R68" authorId="0" shapeId="0" xr:uid="{00000000-0006-0000-0000-000034010000}">
      <text>
        <r>
          <rPr>
            <b/>
            <sz val="12"/>
            <color indexed="81"/>
            <rFont val="Tahoma"/>
            <family val="2"/>
          </rPr>
          <t>Teplota uvnitř skříně: 
Pokud je pole červeně podbarveno, očekávaná vnitřní teplota překračuje výše uvedenou maximální přípustnou teplotu uvnitř rozváděče.</t>
        </r>
      </text>
    </comment>
  </commentList>
</comments>
</file>

<file path=xl/sharedStrings.xml><?xml version="1.0" encoding="utf-8"?>
<sst xmlns="http://schemas.openxmlformats.org/spreadsheetml/2006/main" count="400" uniqueCount="247">
  <si>
    <t>mm</t>
  </si>
  <si>
    <t>A</t>
  </si>
  <si>
    <t>Leiteranordnung</t>
  </si>
  <si>
    <t>Einadrige Leitungen, in einem Kabelkanal, auf einer Wand, horizontal laufend.
6 Leitungen (2 dreiphasige Stromkreise) dauernd belastet</t>
  </si>
  <si>
    <t>Einadrige Leitungen mit gegenseitiger Berührung frei  in Luft oder auf einer gelochten Wanne. 6 Leitungen (2 dreiphasige Stromkreise) dauernd belastet</t>
  </si>
  <si>
    <t xml:space="preserve"> Einadrige Leitungen,  horizontal mit Abstand frei in Luft</t>
  </si>
  <si>
    <t>Abstand mindestens ein
Leitungsdurchmesser</t>
  </si>
  <si>
    <t>mm²</t>
  </si>
  <si>
    <t>Leiterquer-schnitt</t>
  </si>
  <si>
    <r>
      <t>Widerstand des Leiters bei 20 °C, R</t>
    </r>
    <r>
      <rPr>
        <vertAlign val="subscript"/>
        <sz val="11"/>
        <color theme="1"/>
        <rFont val="Calibri"/>
        <family val="2"/>
        <scheme val="minor"/>
      </rPr>
      <t>20</t>
    </r>
    <r>
      <rPr>
        <sz val="11"/>
        <color theme="1"/>
        <rFont val="Calibri"/>
        <family val="2"/>
        <scheme val="minor"/>
      </rPr>
      <t xml:space="preserve"> </t>
    </r>
  </si>
  <si>
    <t>mΩ/m</t>
  </si>
  <si>
    <r>
      <t>max. Betriebsstrom I</t>
    </r>
    <r>
      <rPr>
        <vertAlign val="subscript"/>
        <sz val="11"/>
        <color theme="1"/>
        <rFont val="Calibri"/>
        <family val="2"/>
        <scheme val="minor"/>
      </rPr>
      <t>max</t>
    </r>
  </si>
  <si>
    <r>
      <t>Verlustleistung je Leiter P</t>
    </r>
    <r>
      <rPr>
        <vertAlign val="subscript"/>
        <sz val="11"/>
        <color theme="1"/>
        <rFont val="Calibri"/>
        <family val="2"/>
        <scheme val="minor"/>
      </rPr>
      <t>v</t>
    </r>
  </si>
  <si>
    <t>W/m</t>
  </si>
  <si>
    <t>Querschnitt</t>
  </si>
  <si>
    <t>RDF</t>
  </si>
  <si>
    <t>W</t>
  </si>
  <si>
    <t>m</t>
  </si>
  <si>
    <t>mm*mm</t>
  </si>
  <si>
    <t>Höhe x Breite</t>
  </si>
  <si>
    <t>-</t>
  </si>
  <si>
    <t>15x5</t>
  </si>
  <si>
    <t>15x10</t>
  </si>
  <si>
    <t>20x5</t>
  </si>
  <si>
    <t>20x10</t>
  </si>
  <si>
    <t>25x5</t>
  </si>
  <si>
    <t>30x5</t>
  </si>
  <si>
    <t>30x10</t>
  </si>
  <si>
    <t>12x5</t>
  </si>
  <si>
    <t>12x10</t>
  </si>
  <si>
    <t>Betriebsstrom
35/85°C</t>
  </si>
  <si>
    <t>k3</t>
  </si>
  <si>
    <t>Pv=</t>
  </si>
  <si>
    <t>Sammelschienendaten</t>
  </si>
  <si>
    <t>° C</t>
  </si>
  <si>
    <t>m²</t>
  </si>
  <si>
    <t>f=</t>
  </si>
  <si>
    <t>g=</t>
  </si>
  <si>
    <t>K</t>
  </si>
  <si>
    <t>Gehäusekonstante K</t>
  </si>
  <si>
    <t>Kurve 1</t>
  </si>
  <si>
    <t>Kurve 2</t>
  </si>
  <si>
    <t>Kurve 3</t>
  </si>
  <si>
    <t>Kurve 4</t>
  </si>
  <si>
    <t>Kurve 5</t>
  </si>
  <si>
    <t>Temperaturverteilungsfaktor c für allseitig geschlossene Gehäuse ohne Lüftungsöffnungen mit eine rKühlfläche von Ae&gt;1,25m²</t>
  </si>
  <si>
    <r>
      <t>A</t>
    </r>
    <r>
      <rPr>
        <b/>
        <vertAlign val="subscript"/>
        <sz val="11"/>
        <color theme="1"/>
        <rFont val="Calibri"/>
        <family val="2"/>
        <scheme val="minor"/>
      </rPr>
      <t>E</t>
    </r>
    <r>
      <rPr>
        <b/>
        <sz val="11"/>
        <color theme="1"/>
        <rFont val="Calibri"/>
        <family val="2"/>
        <scheme val="minor"/>
      </rPr>
      <t xml:space="preserve"> &gt;1,25m²</t>
    </r>
  </si>
  <si>
    <r>
      <t>A</t>
    </r>
    <r>
      <rPr>
        <b/>
        <vertAlign val="subscript"/>
        <sz val="11"/>
        <color theme="1"/>
        <rFont val="Calibri"/>
        <family val="2"/>
        <scheme val="minor"/>
      </rPr>
      <t>E</t>
    </r>
    <r>
      <rPr>
        <b/>
        <sz val="11"/>
        <color theme="1"/>
        <rFont val="Calibri"/>
        <family val="2"/>
        <scheme val="minor"/>
      </rPr>
      <t xml:space="preserve"> &lt;=1,25m²</t>
    </r>
  </si>
  <si>
    <t xml:space="preserve">Gehäusekonstante k für allseitig geschlossene Gehäuse ohne Luftöffnungen mit einer wirksamen Kühlfläche Ae&lt;=1,25 </t>
  </si>
  <si>
    <t>k=</t>
  </si>
  <si>
    <t>Temperaturverteilungsfaktor c für allseitig geschlossene Gehäuse ohne Lüftungsöffnungen mit einer Kühlfläche von Ae&lt;=1,25m²</t>
  </si>
  <si>
    <t>c=</t>
  </si>
  <si>
    <t>&gt; 1,25m²</t>
  </si>
  <si>
    <t>Watt</t>
  </si>
  <si>
    <t>Δt1,0=c*Δt0,5</t>
  </si>
  <si>
    <t>Gehäusekonstante k für Gehäuse mit Lüftungsöffnungen  und einer wirksamen Kühlfläche Ae&gt;1,25m²</t>
  </si>
  <si>
    <r>
      <t>k</t>
    </r>
    <r>
      <rPr>
        <vertAlign val="subscript"/>
        <sz val="11"/>
        <color theme="1"/>
        <rFont val="Calibri"/>
        <family val="2"/>
        <scheme val="minor"/>
      </rPr>
      <t>1</t>
    </r>
    <r>
      <rPr>
        <sz val="11"/>
        <color theme="1"/>
        <rFont val="Calibri"/>
        <family val="2"/>
        <scheme val="minor"/>
      </rPr>
      <t>=</t>
    </r>
  </si>
  <si>
    <r>
      <t>k</t>
    </r>
    <r>
      <rPr>
        <vertAlign val="subscript"/>
        <sz val="11"/>
        <color theme="1"/>
        <rFont val="Calibri"/>
        <family val="2"/>
        <scheme val="minor"/>
      </rPr>
      <t>1,5</t>
    </r>
    <r>
      <rPr>
        <sz val="11"/>
        <color theme="1"/>
        <rFont val="Calibri"/>
        <family val="2"/>
        <scheme val="minor"/>
      </rPr>
      <t>=</t>
    </r>
  </si>
  <si>
    <r>
      <t>k</t>
    </r>
    <r>
      <rPr>
        <vertAlign val="subscript"/>
        <sz val="11"/>
        <color theme="1"/>
        <rFont val="Calibri"/>
        <family val="2"/>
        <scheme val="minor"/>
      </rPr>
      <t>2</t>
    </r>
    <r>
      <rPr>
        <sz val="11"/>
        <color theme="1"/>
        <rFont val="Calibri"/>
        <family val="2"/>
        <scheme val="minor"/>
      </rPr>
      <t>=</t>
    </r>
  </si>
  <si>
    <r>
      <t>k</t>
    </r>
    <r>
      <rPr>
        <vertAlign val="subscript"/>
        <sz val="11"/>
        <color theme="1"/>
        <rFont val="Calibri"/>
        <family val="2"/>
        <scheme val="minor"/>
      </rPr>
      <t>2,5</t>
    </r>
    <r>
      <rPr>
        <sz val="11"/>
        <color theme="1"/>
        <rFont val="Calibri"/>
        <family val="2"/>
        <scheme val="minor"/>
      </rPr>
      <t>=</t>
    </r>
  </si>
  <si>
    <r>
      <t>k</t>
    </r>
    <r>
      <rPr>
        <vertAlign val="subscript"/>
        <sz val="11"/>
        <color theme="1"/>
        <rFont val="Calibri"/>
        <family val="2"/>
        <scheme val="minor"/>
      </rPr>
      <t>3</t>
    </r>
    <r>
      <rPr>
        <sz val="11"/>
        <color theme="1"/>
        <rFont val="Calibri"/>
        <family val="2"/>
        <scheme val="minor"/>
      </rPr>
      <t>=</t>
    </r>
  </si>
  <si>
    <r>
      <t>k</t>
    </r>
    <r>
      <rPr>
        <vertAlign val="subscript"/>
        <sz val="11"/>
        <color theme="1"/>
        <rFont val="Calibri"/>
        <family val="2"/>
        <scheme val="minor"/>
      </rPr>
      <t>4</t>
    </r>
    <r>
      <rPr>
        <sz val="11"/>
        <color theme="1"/>
        <rFont val="Calibri"/>
        <family val="2"/>
        <scheme val="minor"/>
      </rPr>
      <t>=</t>
    </r>
  </si>
  <si>
    <r>
      <t>k</t>
    </r>
    <r>
      <rPr>
        <vertAlign val="subscript"/>
        <sz val="11"/>
        <color theme="1"/>
        <rFont val="Calibri"/>
        <family val="2"/>
        <scheme val="minor"/>
      </rPr>
      <t>5</t>
    </r>
    <r>
      <rPr>
        <sz val="11"/>
        <color theme="1"/>
        <rFont val="Calibri"/>
        <family val="2"/>
        <scheme val="minor"/>
      </rPr>
      <t>=</t>
    </r>
  </si>
  <si>
    <r>
      <t>k</t>
    </r>
    <r>
      <rPr>
        <vertAlign val="subscript"/>
        <sz val="11"/>
        <color theme="1"/>
        <rFont val="Calibri"/>
        <family val="2"/>
        <scheme val="minor"/>
      </rPr>
      <t>6</t>
    </r>
    <r>
      <rPr>
        <sz val="11"/>
        <color theme="1"/>
        <rFont val="Calibri"/>
        <family val="2"/>
        <scheme val="minor"/>
      </rPr>
      <t>=</t>
    </r>
  </si>
  <si>
    <r>
      <t>k</t>
    </r>
    <r>
      <rPr>
        <vertAlign val="subscript"/>
        <sz val="11"/>
        <color theme="1"/>
        <rFont val="Calibri"/>
        <family val="2"/>
        <scheme val="minor"/>
      </rPr>
      <t>7</t>
    </r>
    <r>
      <rPr>
        <sz val="11"/>
        <color theme="1"/>
        <rFont val="Calibri"/>
        <family val="2"/>
        <scheme val="minor"/>
      </rPr>
      <t>=</t>
    </r>
  </si>
  <si>
    <r>
      <t>k</t>
    </r>
    <r>
      <rPr>
        <vertAlign val="subscript"/>
        <sz val="11"/>
        <color theme="1"/>
        <rFont val="Calibri"/>
        <family val="2"/>
        <scheme val="minor"/>
      </rPr>
      <t>8</t>
    </r>
    <r>
      <rPr>
        <sz val="11"/>
        <color theme="1"/>
        <rFont val="Calibri"/>
        <family val="2"/>
        <scheme val="minor"/>
      </rPr>
      <t>=</t>
    </r>
  </si>
  <si>
    <r>
      <t>k</t>
    </r>
    <r>
      <rPr>
        <vertAlign val="subscript"/>
        <sz val="11"/>
        <color theme="1"/>
        <rFont val="Calibri"/>
        <family val="2"/>
        <scheme val="minor"/>
      </rPr>
      <t>10</t>
    </r>
    <r>
      <rPr>
        <sz val="11"/>
        <color theme="1"/>
        <rFont val="Calibri"/>
        <family val="2"/>
        <scheme val="minor"/>
      </rPr>
      <t>=</t>
    </r>
  </si>
  <si>
    <r>
      <t>k</t>
    </r>
    <r>
      <rPr>
        <vertAlign val="subscript"/>
        <sz val="11"/>
        <color theme="1"/>
        <rFont val="Calibri"/>
        <family val="2"/>
        <scheme val="minor"/>
      </rPr>
      <t>12</t>
    </r>
    <r>
      <rPr>
        <sz val="11"/>
        <color theme="1"/>
        <rFont val="Calibri"/>
        <family val="2"/>
        <scheme val="minor"/>
      </rPr>
      <t>=</t>
    </r>
  </si>
  <si>
    <r>
      <t>k</t>
    </r>
    <r>
      <rPr>
        <vertAlign val="subscript"/>
        <sz val="11"/>
        <color theme="1"/>
        <rFont val="Calibri"/>
        <family val="2"/>
        <scheme val="minor"/>
      </rPr>
      <t>14</t>
    </r>
    <r>
      <rPr>
        <sz val="11"/>
        <color theme="1"/>
        <rFont val="Calibri"/>
        <family val="2"/>
        <scheme val="minor"/>
      </rPr>
      <t>=</t>
    </r>
  </si>
  <si>
    <t>Querschnitt der Lüftung-Öffnungen in cm²=</t>
  </si>
  <si>
    <t>k</t>
  </si>
  <si>
    <t>wirksame Fläche</t>
  </si>
  <si>
    <t>Temperatur-Verteilungsfaktor c für Gehäuse mit Lüftungsöffnungen und einer wirksamen Kühlfläche Ae&gt;1,25m²</t>
  </si>
  <si>
    <r>
      <t>f</t>
    </r>
    <r>
      <rPr>
        <vertAlign val="subscript"/>
        <sz val="11"/>
        <color theme="1"/>
        <rFont val="Calibri"/>
        <family val="2"/>
        <scheme val="minor"/>
      </rPr>
      <t>2</t>
    </r>
    <r>
      <rPr>
        <sz val="11"/>
        <color theme="1"/>
        <rFont val="Calibri"/>
        <family val="2"/>
        <scheme val="minor"/>
      </rPr>
      <t>=</t>
    </r>
  </si>
  <si>
    <r>
      <t>f</t>
    </r>
    <r>
      <rPr>
        <vertAlign val="subscript"/>
        <sz val="11"/>
        <color theme="1"/>
        <rFont val="Calibri"/>
        <family val="2"/>
        <scheme val="minor"/>
      </rPr>
      <t>3</t>
    </r>
    <r>
      <rPr>
        <sz val="11"/>
        <color theme="1"/>
        <rFont val="Calibri"/>
        <family val="2"/>
        <scheme val="minor"/>
      </rPr>
      <t>=</t>
    </r>
  </si>
  <si>
    <r>
      <t>f</t>
    </r>
    <r>
      <rPr>
        <vertAlign val="subscript"/>
        <sz val="11"/>
        <color theme="1"/>
        <rFont val="Calibri"/>
        <family val="2"/>
        <scheme val="minor"/>
      </rPr>
      <t>4</t>
    </r>
    <r>
      <rPr>
        <sz val="11"/>
        <color theme="1"/>
        <rFont val="Calibri"/>
        <family val="2"/>
        <scheme val="minor"/>
      </rPr>
      <t>=</t>
    </r>
  </si>
  <si>
    <t>f5=</t>
  </si>
  <si>
    <t>f6=</t>
  </si>
  <si>
    <r>
      <t>f</t>
    </r>
    <r>
      <rPr>
        <vertAlign val="subscript"/>
        <sz val="11"/>
        <color theme="1"/>
        <rFont val="Calibri"/>
        <family val="2"/>
        <scheme val="minor"/>
      </rPr>
      <t>7</t>
    </r>
    <r>
      <rPr>
        <sz val="11"/>
        <color theme="1"/>
        <rFont val="Calibri"/>
        <family val="2"/>
        <scheme val="minor"/>
      </rPr>
      <t>=</t>
    </r>
  </si>
  <si>
    <r>
      <t>f</t>
    </r>
    <r>
      <rPr>
        <vertAlign val="subscript"/>
        <sz val="11"/>
        <color theme="1"/>
        <rFont val="Calibri"/>
        <family val="2"/>
        <scheme val="minor"/>
      </rPr>
      <t>8</t>
    </r>
    <r>
      <rPr>
        <sz val="11"/>
        <color theme="1"/>
        <rFont val="Calibri"/>
        <family val="2"/>
        <scheme val="minor"/>
      </rPr>
      <t>=</t>
    </r>
  </si>
  <si>
    <r>
      <t>f</t>
    </r>
    <r>
      <rPr>
        <vertAlign val="subscript"/>
        <sz val="11"/>
        <color theme="1"/>
        <rFont val="Calibri"/>
        <family val="2"/>
        <scheme val="minor"/>
      </rPr>
      <t>9</t>
    </r>
    <r>
      <rPr>
        <sz val="11"/>
        <color theme="1"/>
        <rFont val="Calibri"/>
        <family val="2"/>
        <scheme val="minor"/>
      </rPr>
      <t>=</t>
    </r>
  </si>
  <si>
    <r>
      <t>f</t>
    </r>
    <r>
      <rPr>
        <vertAlign val="subscript"/>
        <sz val="11"/>
        <color theme="1"/>
        <rFont val="Calibri"/>
        <family val="2"/>
        <scheme val="minor"/>
      </rPr>
      <t>10</t>
    </r>
    <r>
      <rPr>
        <sz val="11"/>
        <color theme="1"/>
        <rFont val="Calibri"/>
        <family val="2"/>
        <scheme val="minor"/>
      </rPr>
      <t>=</t>
    </r>
  </si>
  <si>
    <r>
      <t>f</t>
    </r>
    <r>
      <rPr>
        <vertAlign val="subscript"/>
        <sz val="11"/>
        <color theme="1"/>
        <rFont val="Calibri"/>
        <family val="2"/>
        <scheme val="minor"/>
      </rPr>
      <t>1,5</t>
    </r>
    <r>
      <rPr>
        <sz val="11"/>
        <color theme="1"/>
        <rFont val="Calibri"/>
        <family val="2"/>
        <scheme val="minor"/>
      </rPr>
      <t>=</t>
    </r>
  </si>
  <si>
    <t>Höhe/Grundfläche-faktor</t>
  </si>
  <si>
    <t>cm²</t>
  </si>
  <si>
    <t>für allseitig geschlossene Gehäuse ohne Lüftungsöffnungen mit einer Kühlfläche von Ae&gt;1,25m²</t>
  </si>
  <si>
    <t>PLS800</t>
  </si>
  <si>
    <t>PLS1600</t>
  </si>
  <si>
    <t>8x6x0,5</t>
  </si>
  <si>
    <t>6x9x0,8</t>
  </si>
  <si>
    <t>4x15,5x0,8</t>
  </si>
  <si>
    <t>6x15,5x0,8</t>
  </si>
  <si>
    <t>10x15,5x0,8</t>
  </si>
  <si>
    <t>5x20x1</t>
  </si>
  <si>
    <t>5x24x1</t>
  </si>
  <si>
    <t>10x24x1</t>
  </si>
  <si>
    <t>5x32x1</t>
  </si>
  <si>
    <t>10x32x1</t>
  </si>
  <si>
    <t>5x40x1</t>
  </si>
  <si>
    <t>10x40x1</t>
  </si>
  <si>
    <t>5x50x1</t>
  </si>
  <si>
    <t>10x50x1</t>
  </si>
  <si>
    <t>10x63x1</t>
  </si>
  <si>
    <t>2x 10x32x1</t>
  </si>
  <si>
    <t>2x 10x40x1</t>
  </si>
  <si>
    <t>2x 10x50x1</t>
  </si>
  <si>
    <t>2x 10x63x1</t>
  </si>
  <si>
    <t>40x5</t>
  </si>
  <si>
    <t>40x10</t>
  </si>
  <si>
    <t>50x10</t>
  </si>
  <si>
    <t>60x10</t>
  </si>
  <si>
    <t>80x10</t>
  </si>
  <si>
    <t>2x40x10</t>
  </si>
  <si>
    <t>2x50x10</t>
  </si>
  <si>
    <t>2x60x10</t>
  </si>
  <si>
    <t>2x80x10</t>
  </si>
  <si>
    <t>t 1,0</t>
  </si>
  <si>
    <t>t 0,75</t>
  </si>
  <si>
    <t>t0,5</t>
  </si>
  <si>
    <t>t0,25</t>
  </si>
  <si>
    <t>t0,01</t>
  </si>
  <si>
    <t>&lt;= 1,25m²</t>
  </si>
  <si>
    <t>Výpočet teploty</t>
  </si>
  <si>
    <t>Otvory pro přívod vzduchu v poli</t>
  </si>
  <si>
    <t>Konstanta skříně k</t>
  </si>
  <si>
    <t>Koeficient pro vodorovnou přepážku d</t>
  </si>
  <si>
    <t>Účinný ztrátový výkon</t>
  </si>
  <si>
    <t>Faktor rozložení teploty c</t>
  </si>
  <si>
    <t>Výpočet plochy</t>
  </si>
  <si>
    <t>Strop</t>
  </si>
  <si>
    <t>Přední strana</t>
  </si>
  <si>
    <t>Zadní strana</t>
  </si>
  <si>
    <t>Levý bok</t>
  </si>
  <si>
    <t>Pravý bok</t>
  </si>
  <si>
    <t>Koeficient plochy
b</t>
  </si>
  <si>
    <t>Údaje o skříni</t>
  </si>
  <si>
    <t>Výška</t>
  </si>
  <si>
    <t>Šířka</t>
  </si>
  <si>
    <t>Hloubka</t>
  </si>
  <si>
    <t>Způsob instalace skříně</t>
  </si>
  <si>
    <t>Způsoby instalace skříně</t>
  </si>
  <si>
    <t>Volně stojící skříň</t>
  </si>
  <si>
    <t>Nástěnná skříň</t>
  </si>
  <si>
    <t>Počáteční nebo koncová volně stojící skříň</t>
  </si>
  <si>
    <t>Počáteční nebo koncová nástěnná skříň</t>
  </si>
  <si>
    <t>Vnitřní/střední volně stojící skříň</t>
  </si>
  <si>
    <t>Vnitřní/střední nástěnná skříň</t>
  </si>
  <si>
    <t>Nástěnná skříň (přiléhající ke stropu)</t>
  </si>
  <si>
    <t>Celkový ztrátový výkon [W]</t>
  </si>
  <si>
    <t>Dodatečně odvedený ztrátový výkon pomocí ventilace/klimatizace [W]</t>
  </si>
  <si>
    <t xml:space="preserve">Rozdíl ztrátového výkonu [W]   </t>
  </si>
  <si>
    <t>Horní část skříně</t>
  </si>
  <si>
    <t>Střední část skříně</t>
  </si>
  <si>
    <t>Oteplení skříně [K]</t>
  </si>
  <si>
    <t>Teplota uvnitř skříně [°C]</t>
  </si>
  <si>
    <t>Sběrnicový systém (vypočtená hodnota)</t>
  </si>
  <si>
    <t>Obvod č.</t>
  </si>
  <si>
    <t>Název obvodu</t>
  </si>
  <si>
    <t>Počet pólu obvodu</t>
  </si>
  <si>
    <t xml:space="preserve">Ztrátový výkon hlavních kontaktů na pól
</t>
  </si>
  <si>
    <t>Počet vodičů</t>
  </si>
  <si>
    <t>Délka</t>
  </si>
  <si>
    <t>Průřez</t>
  </si>
  <si>
    <t>Efektivní ztrátový výkon vodiče</t>
  </si>
  <si>
    <t>Efektivní ztrátový výkon přístroje</t>
  </si>
  <si>
    <t>Součet ztrátových výkonů obvodů</t>
  </si>
  <si>
    <t>Údaje o napájení a zátěži</t>
  </si>
  <si>
    <t>Ochranný prvek</t>
  </si>
  <si>
    <t>Spínací prvek, stykač</t>
  </si>
  <si>
    <t>Připojení proudového obvodu</t>
  </si>
  <si>
    <t>Ztrátové výkony</t>
  </si>
  <si>
    <t>Vyhotovil:</t>
  </si>
  <si>
    <t>Účinná plocha skříně</t>
  </si>
  <si>
    <t>Otvory pro přívod vzduchu</t>
  </si>
  <si>
    <t>Okolní teplota skříně</t>
  </si>
  <si>
    <t>Maximální přípustná teplota uvnitř skříně</t>
  </si>
  <si>
    <t>Počet vodorovných oddělovacích stěn</t>
  </si>
  <si>
    <t>Datum:</t>
  </si>
  <si>
    <t xml:space="preserve"> Jmenovitý proud vodiče</t>
  </si>
  <si>
    <t>Jmenovitý ztrátový výkon vodiče</t>
  </si>
  <si>
    <t>Průřez pro variantu uspořádání vodičů 1</t>
  </si>
  <si>
    <t>Průřez pro variantu uspořádání vodičů   2</t>
  </si>
  <si>
    <t>Průřez pro variantu uspořádání vodičů 3</t>
  </si>
  <si>
    <t>Jmenovitý proud pro variantu uspořádání vodičů 1</t>
  </si>
  <si>
    <t>Jmenovitý proud pro variantu uspořádání vodičů 2</t>
  </si>
  <si>
    <t>Jmenovitý proud pro variantu uspořádání vodičů 3</t>
  </si>
  <si>
    <t>Jmenovitý ztrátový výkon pro variantu uspořádání vodičů 1</t>
  </si>
  <si>
    <t>Jmenovitý ztrátový výkon pro variantu uspořádání vodičů 2</t>
  </si>
  <si>
    <t>Jmenovitý ztrátový výkon pro variantu uspořádání vodičů 3</t>
  </si>
  <si>
    <t>Ztrát. výkon cívky</t>
  </si>
  <si>
    <t>RH 1</t>
  </si>
  <si>
    <t>RPR</t>
  </si>
  <si>
    <t>Napájení (přívodní vodiče)</t>
  </si>
  <si>
    <t>Sběrnicový systém
(Možné převzít hodnotu z Rittal Power Engineering)</t>
  </si>
  <si>
    <t>Součet ztátových výkonů vývodních obvodů
(Možné převzít hodnotu z Rittal Power Engineering)</t>
  </si>
  <si>
    <t>Velikost tepelného toku procházejícího krytem rozváděče:</t>
  </si>
  <si>
    <t>A plocha rozhraní (m2),</t>
  </si>
  <si>
    <t>K součinitel prostupu tepla (Wm-2K-1),</t>
  </si>
  <si>
    <t>POROVNÁNÍ MEZI TEPLOTOU VYPOČÍTANOU Ti A TEPLOTOU POŽADOVANOU Ts:</t>
  </si>
  <si>
    <t>Ventilace nebo klimatizace není třeba</t>
  </si>
  <si>
    <t>Ventilace nebo klimatizace je potřeba</t>
  </si>
  <si>
    <t>VÝPOČET PRŮTOKU:</t>
  </si>
  <si>
    <t>Proudění potřebné k odvedení tepla</t>
  </si>
  <si>
    <t>vypočteného při teplotní kalkulaci:</t>
  </si>
  <si>
    <t>D=</t>
  </si>
  <si>
    <t>Psyst</t>
  </si>
  <si>
    <t>× 3,1 (m3/h)</t>
  </si>
  <si>
    <t>Tsmax – Temax</t>
  </si>
  <si>
    <t>m3/h</t>
  </si>
  <si>
    <t>Množství vzduchu odvedené ventilátorem:</t>
  </si>
  <si>
    <t>Odvedený ztrátový výkon pomocí ventilace:</t>
  </si>
  <si>
    <t>Psyst vent =</t>
  </si>
  <si>
    <t>10x1</t>
  </si>
  <si>
    <t>16x1</t>
  </si>
  <si>
    <t>Název rozváděče:</t>
  </si>
  <si>
    <t>Pole číslo:</t>
  </si>
  <si>
    <t>Výška pole:</t>
  </si>
  <si>
    <t>Šířka pole:</t>
  </si>
  <si>
    <t>Hloubka pole:</t>
  </si>
  <si>
    <t>Číslo dokumentu:</t>
  </si>
  <si>
    <t>VOT_XXXXXXXXX</t>
  </si>
  <si>
    <t>F = AK(qi - qc)</t>
  </si>
  <si>
    <t>F =</t>
  </si>
  <si>
    <t>kde F     je tepelný tok (W)</t>
  </si>
  <si>
    <t>qi teplota vnitřního prostředí (°C),</t>
  </si>
  <si>
    <t>qc teplota vnějšího prostředí (°C).</t>
  </si>
  <si>
    <r>
      <t>I</t>
    </r>
    <r>
      <rPr>
        <b/>
        <vertAlign val="subscript"/>
        <sz val="10"/>
        <color theme="1"/>
        <rFont val="Arial"/>
        <family val="2"/>
        <charset val="238"/>
      </rPr>
      <t>nc</t>
    </r>
  </si>
  <si>
    <r>
      <t>I</t>
    </r>
    <r>
      <rPr>
        <b/>
        <vertAlign val="subscript"/>
        <sz val="10"/>
        <color theme="1"/>
        <rFont val="Arial"/>
        <family val="2"/>
        <charset val="238"/>
      </rPr>
      <t>ng nebo</t>
    </r>
    <r>
      <rPr>
        <b/>
        <sz val="10"/>
        <color theme="1"/>
        <rFont val="Arial"/>
        <family val="2"/>
        <charset val="238"/>
      </rPr>
      <t xml:space="preserve">
(I</t>
    </r>
    <r>
      <rPr>
        <b/>
        <vertAlign val="subscript"/>
        <sz val="10"/>
        <color theme="1"/>
        <rFont val="Arial"/>
        <family val="2"/>
        <charset val="238"/>
      </rPr>
      <t>nc</t>
    </r>
    <r>
      <rPr>
        <b/>
        <sz val="10"/>
        <color theme="1"/>
        <rFont val="Arial"/>
        <family val="2"/>
        <charset val="238"/>
      </rPr>
      <t xml:space="preserve"> x RDF)</t>
    </r>
  </si>
  <si>
    <r>
      <t>Jmenovitý proud přístroje
I</t>
    </r>
    <r>
      <rPr>
        <b/>
        <vertAlign val="subscript"/>
        <sz val="10"/>
        <color theme="1"/>
        <rFont val="Arial"/>
        <family val="2"/>
        <charset val="238"/>
      </rPr>
      <t>n</t>
    </r>
  </si>
  <si>
    <r>
      <t xml:space="preserve">Uspořádání vodičů </t>
    </r>
    <r>
      <rPr>
        <b/>
        <vertAlign val="superscript"/>
        <sz val="10"/>
        <color theme="1"/>
        <rFont val="Arial"/>
        <family val="2"/>
        <charset val="238"/>
      </rPr>
      <t>1)</t>
    </r>
  </si>
  <si>
    <r>
      <t>Součet I</t>
    </r>
    <r>
      <rPr>
        <b/>
        <vertAlign val="subscript"/>
        <sz val="10"/>
        <color theme="1"/>
        <rFont val="Arial"/>
        <family val="2"/>
        <charset val="238"/>
      </rPr>
      <t>ng</t>
    </r>
  </si>
  <si>
    <r>
      <rPr>
        <b/>
        <vertAlign val="superscript"/>
        <sz val="10"/>
        <color theme="1"/>
        <rFont val="Arial"/>
        <family val="2"/>
        <charset val="238"/>
      </rPr>
      <t xml:space="preserve">1) </t>
    </r>
    <r>
      <rPr>
        <b/>
        <sz val="10"/>
        <color theme="1"/>
        <rFont val="Arial"/>
        <family val="2"/>
        <charset val="238"/>
      </rPr>
      <t>Možné varianty pro uložení vodičů</t>
    </r>
    <r>
      <rPr>
        <sz val="10"/>
        <color theme="1"/>
        <rFont val="Arial"/>
        <family val="2"/>
        <charset val="238"/>
      </rPr>
      <t xml:space="preserve">
    1 = jednožilové vodiče v uzavřeném kanálu
    2 = jednožilové vodiče v děrované kabelové lávce
    3 = jednožilové vodiče volně ložené s odstupem o průměru vodiče
    4 = hlavní přípojnicový systém</t>
    </r>
  </si>
  <si>
    <r>
      <t>Jednotlivé plochy
A</t>
    </r>
    <r>
      <rPr>
        <vertAlign val="subscript"/>
        <sz val="10"/>
        <color theme="1"/>
        <rFont val="Arial"/>
        <family val="2"/>
        <charset val="238"/>
      </rPr>
      <t>0</t>
    </r>
  </si>
  <si>
    <r>
      <t>A</t>
    </r>
    <r>
      <rPr>
        <vertAlign val="subscript"/>
        <sz val="10"/>
        <color theme="1"/>
        <rFont val="Arial"/>
        <family val="2"/>
        <charset val="238"/>
      </rPr>
      <t>0</t>
    </r>
    <r>
      <rPr>
        <sz val="10"/>
        <color theme="1"/>
        <rFont val="Arial"/>
        <family val="2"/>
        <charset val="238"/>
      </rPr>
      <t>* b</t>
    </r>
  </si>
  <si>
    <r>
      <t>Účinná plocha
A</t>
    </r>
    <r>
      <rPr>
        <vertAlign val="subscript"/>
        <sz val="10"/>
        <color theme="1"/>
        <rFont val="Arial"/>
        <family val="2"/>
        <charset val="238"/>
      </rPr>
      <t>E</t>
    </r>
  </si>
  <si>
    <r>
      <t>Účinná plocha A</t>
    </r>
    <r>
      <rPr>
        <vertAlign val="subscript"/>
        <sz val="10"/>
        <color theme="1"/>
        <rFont val="Arial"/>
        <family val="2"/>
        <charset val="238"/>
      </rPr>
      <t>E</t>
    </r>
  </si>
  <si>
    <r>
      <t>Exponent pro P</t>
    </r>
    <r>
      <rPr>
        <vertAlign val="subscript"/>
        <sz val="10"/>
        <color theme="1"/>
        <rFont val="Arial"/>
        <family val="2"/>
        <charset val="238"/>
      </rPr>
      <t>v</t>
    </r>
  </si>
  <si>
    <r>
      <t>P</t>
    </r>
    <r>
      <rPr>
        <vertAlign val="superscript"/>
        <sz val="10"/>
        <color theme="1"/>
        <rFont val="Arial"/>
        <family val="2"/>
        <charset val="238"/>
      </rPr>
      <t>x</t>
    </r>
    <r>
      <rPr>
        <sz val="10"/>
        <color theme="1"/>
        <rFont val="Arial"/>
        <family val="2"/>
        <charset val="238"/>
      </rPr>
      <t>=P</t>
    </r>
    <r>
      <rPr>
        <vertAlign val="subscript"/>
        <sz val="10"/>
        <color theme="1"/>
        <rFont val="Arial"/>
        <family val="2"/>
        <charset val="238"/>
      </rPr>
      <t>v</t>
    </r>
    <r>
      <rPr>
        <sz val="10"/>
        <color theme="1"/>
        <rFont val="Arial"/>
        <family val="2"/>
        <charset val="238"/>
      </rPr>
      <t>^Exponent</t>
    </r>
  </si>
  <si>
    <r>
      <t>Δt0,5=k*d*P</t>
    </r>
    <r>
      <rPr>
        <vertAlign val="superscript"/>
        <sz val="10"/>
        <color theme="1"/>
        <rFont val="Arial"/>
        <family val="2"/>
        <charset val="238"/>
      </rPr>
      <t>x</t>
    </r>
  </si>
  <si>
    <r>
      <t xml:space="preserve">Ts max (Požadovaná teplota) </t>
    </r>
    <r>
      <rPr>
        <b/>
        <sz val="10"/>
        <color rgb="FFFF0000"/>
        <rFont val="Arial"/>
        <family val="2"/>
        <charset val="238"/>
      </rPr>
      <t>&gt;</t>
    </r>
    <r>
      <rPr>
        <b/>
        <sz val="10"/>
        <color theme="1"/>
        <rFont val="Arial"/>
        <family val="2"/>
        <charset val="238"/>
      </rPr>
      <t xml:space="preserve"> Ti max (vypočtená teplota)</t>
    </r>
  </si>
  <si>
    <r>
      <rPr>
        <b/>
        <sz val="10"/>
        <color theme="1"/>
        <rFont val="Arial"/>
        <family val="2"/>
        <charset val="238"/>
      </rPr>
      <t>Psyst</t>
    </r>
    <r>
      <rPr>
        <sz val="10"/>
        <color theme="1"/>
        <rFont val="Arial"/>
        <family val="2"/>
        <charset val="238"/>
      </rPr>
      <t xml:space="preserve"> = Pd – K×Sx(Tsmax – Temax)</t>
    </r>
  </si>
  <si>
    <r>
      <t xml:space="preserve">Ts max (Požadovaná teplota) </t>
    </r>
    <r>
      <rPr>
        <b/>
        <sz val="10"/>
        <color rgb="FFFF0000"/>
        <rFont val="Arial"/>
        <family val="2"/>
        <charset val="238"/>
      </rPr>
      <t>&lt;</t>
    </r>
    <r>
      <rPr>
        <b/>
        <sz val="10"/>
        <color theme="1"/>
        <rFont val="Arial"/>
        <family val="2"/>
        <charset val="238"/>
      </rPr>
      <t xml:space="preserve"> Ti max (vypočtená teplota)</t>
    </r>
  </si>
  <si>
    <r>
      <t xml:space="preserve">pro celoplechový kryt rozváděče: K-fe </t>
    </r>
    <r>
      <rPr>
        <b/>
        <sz val="10"/>
        <color theme="1"/>
        <rFont val="Arial"/>
        <family val="2"/>
        <charset val="238"/>
      </rPr>
      <t>5,5</t>
    </r>
    <r>
      <rPr>
        <sz val="10"/>
        <color theme="1"/>
        <rFont val="Arial"/>
        <family val="2"/>
        <charset val="238"/>
      </rPr>
      <t xml:space="preserve">(Wm-2K-1)
</t>
    </r>
  </si>
  <si>
    <r>
      <t xml:space="preserve">pro plastový  kryt rozváděče: K-plast </t>
    </r>
    <r>
      <rPr>
        <b/>
        <sz val="10"/>
        <color theme="1"/>
        <rFont val="Arial"/>
        <family val="2"/>
        <charset val="238"/>
      </rPr>
      <t>3,5</t>
    </r>
    <r>
      <rPr>
        <sz val="10"/>
        <color theme="1"/>
        <rFont val="Arial"/>
        <family val="2"/>
        <charset val="238"/>
      </rPr>
      <t>(Wm-2K-1),</t>
    </r>
  </si>
  <si>
    <r>
      <t xml:space="preserve">pro nerezový kryt rozváděče: K-ner </t>
    </r>
    <r>
      <rPr>
        <b/>
        <sz val="10"/>
        <color theme="1"/>
        <rFont val="Arial"/>
        <family val="2"/>
        <charset val="238"/>
      </rPr>
      <t>3,7</t>
    </r>
    <r>
      <rPr>
        <sz val="10"/>
        <color theme="1"/>
        <rFont val="Arial"/>
        <family val="2"/>
        <charset val="238"/>
      </rPr>
      <t>(Wm-2K-1),</t>
    </r>
  </si>
  <si>
    <r>
      <t xml:space="preserve">pro hliníkový kryt rozváděče: K-al </t>
    </r>
    <r>
      <rPr>
        <b/>
        <sz val="10"/>
        <color theme="1"/>
        <rFont val="Arial"/>
        <family val="2"/>
        <charset val="238"/>
      </rPr>
      <t>12</t>
    </r>
    <r>
      <rPr>
        <sz val="10"/>
        <color theme="1"/>
        <rFont val="Arial"/>
        <family val="2"/>
        <charset val="238"/>
      </rPr>
      <t>(Wm-2K-1),</t>
    </r>
  </si>
  <si>
    <r>
      <t xml:space="preserve">Ověření oteplení výpočtem do 1600A dle 10.10.4.3 – ČSN EN IEC 61439-1
</t>
    </r>
    <r>
      <rPr>
        <b/>
        <sz val="20"/>
        <color theme="0"/>
        <rFont val="Arial"/>
        <family val="2"/>
        <charset val="238"/>
      </rPr>
      <t xml:space="preserve">Výpočet v souladu s IEC/TR 60890:2014 </t>
    </r>
    <r>
      <rPr>
        <b/>
        <sz val="24"/>
        <color theme="0"/>
        <rFont val="Arial"/>
        <family val="2"/>
        <charset val="238"/>
      </rPr>
      <t xml:space="preserve">
</t>
    </r>
    <r>
      <rPr>
        <b/>
        <i/>
        <sz val="16"/>
        <color rgb="FFFFFF00"/>
        <rFont val="Arial"/>
        <family val="2"/>
        <charset val="238"/>
      </rPr>
      <t xml:space="preserve">
</t>
    </r>
    <r>
      <rPr>
        <b/>
        <sz val="16"/>
        <color theme="0"/>
        <rFont val="Arial"/>
        <family val="2"/>
        <charset val="238"/>
      </rPr>
      <t xml:space="preserve">Ověření je dosaženo, je-li vypočtená vnitřní teplota v rozváděči (nebo v poli rozváděče) nižší, než je dovolená provozní teplota všech vestavěných součástí.
</t>
    </r>
    <r>
      <rPr>
        <b/>
        <sz val="20"/>
        <color rgb="FFFFFF00"/>
        <rFont val="Arial"/>
        <family val="2"/>
        <charset val="238"/>
      </rPr>
      <t>Vzor dokumentu. Plnou verzi vám rádi zašleme po registraci.</t>
    </r>
    <r>
      <rPr>
        <b/>
        <sz val="16"/>
        <color theme="0"/>
        <rFont val="Arial"/>
        <family val="2"/>
        <charset val="238"/>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</si>
</sst>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41" x14ac:knownFonts="1">
    <font>
      <sz val="11"/>
      <color theme="1"/>
      <name val="Calibri"/>
      <family val="2"/>
      <scheme val="minor"/>
    </font>
    <font>
      <vertAlign val="subscript"/>
      <sz val="11"/>
      <color theme="1"/>
      <name val="Calibri"/>
      <family val="2"/>
      <scheme val="minor"/>
    </font>
    <font>
      <b/>
      <sz val="11"/>
      <color theme="1"/>
      <name val="Calibri"/>
      <family val="2"/>
      <scheme val="minor"/>
    </font>
    <font>
      <b/>
      <vertAlign val="subscript"/>
      <sz val="11"/>
      <color theme="1"/>
      <name val="Calibri"/>
      <family val="2"/>
      <scheme val="minor"/>
    </font>
    <font>
      <sz val="10"/>
      <color theme="1"/>
      <name val="Verdana"/>
      <family val="2"/>
    </font>
    <font>
      <b/>
      <sz val="10"/>
      <color indexed="81"/>
      <name val="Tahoma"/>
      <family val="2"/>
    </font>
    <font>
      <sz val="10"/>
      <color indexed="81"/>
      <name val="Tahoma"/>
      <family val="2"/>
    </font>
    <font>
      <sz val="10"/>
      <color rgb="FF000000"/>
      <name val="Calibri"/>
      <family val="2"/>
      <scheme val="minor"/>
    </font>
    <font>
      <sz val="8"/>
      <color indexed="81"/>
      <name val="Tahoma"/>
      <family val="2"/>
    </font>
    <font>
      <b/>
      <sz val="11"/>
      <color indexed="81"/>
      <name val="Tahoma"/>
      <family val="2"/>
    </font>
    <font>
      <b/>
      <sz val="12"/>
      <color indexed="81"/>
      <name val="Tahoma"/>
      <family val="2"/>
    </font>
    <font>
      <sz val="12"/>
      <color indexed="81"/>
      <name val="Tahoma"/>
      <family val="2"/>
    </font>
    <font>
      <sz val="11"/>
      <color indexed="81"/>
      <name val="Tahoma"/>
      <family val="2"/>
    </font>
    <font>
      <b/>
      <sz val="14"/>
      <color indexed="81"/>
      <name val="Tahoma"/>
      <family val="2"/>
    </font>
    <font>
      <sz val="14"/>
      <color indexed="81"/>
      <name val="Tahoma"/>
      <family val="2"/>
    </font>
    <font>
      <sz val="11"/>
      <color indexed="81"/>
      <name val="Tahoma"/>
      <family val="2"/>
      <charset val="238"/>
    </font>
    <font>
      <sz val="12"/>
      <color indexed="81"/>
      <name val="Tahoma"/>
      <family val="2"/>
      <charset val="238"/>
    </font>
    <font>
      <sz val="14"/>
      <color indexed="81"/>
      <name val="Tahoma"/>
      <family val="2"/>
      <charset val="238"/>
    </font>
    <font>
      <sz val="10"/>
      <color indexed="81"/>
      <name val="Tahoma"/>
      <family val="2"/>
      <charset val="238"/>
    </font>
    <font>
      <sz val="8"/>
      <name val="Calibri"/>
      <family val="2"/>
      <scheme val="minor"/>
    </font>
    <font>
      <sz val="11"/>
      <color theme="1"/>
      <name val="Calibri"/>
      <family val="2"/>
      <charset val="238"/>
    </font>
    <font>
      <b/>
      <vertAlign val="subscript"/>
      <sz val="12"/>
      <color indexed="81"/>
      <name val="Tahoma"/>
      <family val="2"/>
      <charset val="238"/>
    </font>
    <font>
      <b/>
      <sz val="14"/>
      <color indexed="81"/>
      <name val="Tahoma"/>
      <family val="2"/>
      <charset val="238"/>
    </font>
    <font>
      <sz val="11"/>
      <color theme="1"/>
      <name val="Arial"/>
      <family val="2"/>
      <charset val="238"/>
    </font>
    <font>
      <b/>
      <sz val="11"/>
      <color theme="1"/>
      <name val="Arial"/>
      <family val="2"/>
      <charset val="238"/>
    </font>
    <font>
      <b/>
      <sz val="24"/>
      <color theme="0"/>
      <name val="Arial"/>
      <family val="2"/>
      <charset val="238"/>
    </font>
    <font>
      <b/>
      <sz val="12"/>
      <color theme="1"/>
      <name val="Arial"/>
      <family val="2"/>
      <charset val="238"/>
    </font>
    <font>
      <b/>
      <sz val="12"/>
      <color rgb="FFFF0000"/>
      <name val="Arial"/>
      <family val="2"/>
      <charset val="238"/>
    </font>
    <font>
      <b/>
      <sz val="10"/>
      <color theme="1"/>
      <name val="Arial"/>
      <family val="2"/>
      <charset val="238"/>
    </font>
    <font>
      <sz val="10"/>
      <color theme="1"/>
      <name val="Arial"/>
      <family val="2"/>
      <charset val="238"/>
    </font>
    <font>
      <sz val="12"/>
      <color theme="1"/>
      <name val="Arial"/>
      <family val="2"/>
      <charset val="238"/>
    </font>
    <font>
      <b/>
      <vertAlign val="subscript"/>
      <sz val="10"/>
      <color theme="1"/>
      <name val="Arial"/>
      <family val="2"/>
      <charset val="238"/>
    </font>
    <font>
      <b/>
      <vertAlign val="superscript"/>
      <sz val="10"/>
      <color theme="1"/>
      <name val="Arial"/>
      <family val="2"/>
      <charset val="238"/>
    </font>
    <font>
      <vertAlign val="subscript"/>
      <sz val="10"/>
      <color theme="1"/>
      <name val="Arial"/>
      <family val="2"/>
      <charset val="238"/>
    </font>
    <font>
      <vertAlign val="superscript"/>
      <sz val="10"/>
      <color theme="1"/>
      <name val="Arial"/>
      <family val="2"/>
      <charset val="238"/>
    </font>
    <font>
      <b/>
      <sz val="10"/>
      <color rgb="FFFF0000"/>
      <name val="Arial"/>
      <family val="2"/>
      <charset val="238"/>
    </font>
    <font>
      <b/>
      <sz val="16"/>
      <color theme="0"/>
      <name val="Arial"/>
      <family val="2"/>
      <charset val="238"/>
    </font>
    <font>
      <b/>
      <sz val="20"/>
      <color theme="0"/>
      <name val="Arial"/>
      <family val="2"/>
      <charset val="238"/>
    </font>
    <font>
      <b/>
      <sz val="12"/>
      <name val="Arial"/>
      <family val="2"/>
      <charset val="238"/>
    </font>
    <font>
      <b/>
      <sz val="20"/>
      <color rgb="FFFFFF00"/>
      <name val="Arial"/>
      <family val="2"/>
      <charset val="238"/>
    </font>
    <font>
      <b/>
      <i/>
      <sz val="16"/>
      <color rgb="FFFFFF00"/>
      <name val="Arial"/>
      <family val="2"/>
      <charset val="238"/>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008BD0"/>
        <bgColor indexed="64"/>
      </patternFill>
    </fill>
  </fills>
  <borders count="55">
    <border>
      <left/>
      <right/>
      <top/>
      <bottom/>
      <diagonal/>
    </border>
    <border>
      <left style="medium">
        <color auto="1"/>
      </left>
      <right/>
      <top style="medium">
        <color auto="1"/>
      </top>
      <bottom/>
      <diagonal/>
    </border>
    <border>
      <left/>
      <right/>
      <top style="medium">
        <color auto="1"/>
      </top>
      <bottom/>
      <diagonal/>
    </border>
    <border>
      <left style="medium">
        <color auto="1"/>
      </left>
      <right/>
      <top/>
      <bottom style="medium">
        <color auto="1"/>
      </bottom>
      <diagonal/>
    </border>
    <border>
      <left/>
      <right/>
      <top/>
      <bottom style="medium">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top style="medium">
        <color auto="1"/>
      </top>
      <bottom style="medium">
        <color auto="1"/>
      </bottom>
      <diagonal/>
    </border>
    <border>
      <left style="medium">
        <color auto="1"/>
      </left>
      <right/>
      <top/>
      <bottom/>
      <diagonal/>
    </border>
    <border>
      <left style="thin">
        <color auto="1"/>
      </left>
      <right style="thin">
        <color auto="1"/>
      </right>
      <top style="medium">
        <color auto="1"/>
      </top>
      <bottom style="thin">
        <color auto="1"/>
      </bottom>
      <diagonal/>
    </border>
    <border>
      <left style="thin">
        <color auto="1"/>
      </left>
      <right style="thin">
        <color auto="1"/>
      </right>
      <top/>
      <bottom style="medium">
        <color auto="1"/>
      </bottom>
      <diagonal/>
    </border>
    <border>
      <left/>
      <right style="thin">
        <color auto="1"/>
      </right>
      <top style="medium">
        <color auto="1"/>
      </top>
      <bottom/>
      <diagonal/>
    </border>
    <border>
      <left style="thin">
        <color auto="1"/>
      </left>
      <right/>
      <top style="medium">
        <color auto="1"/>
      </top>
      <bottom/>
      <diagonal/>
    </border>
    <border>
      <left style="thin">
        <color auto="1"/>
      </left>
      <right style="thin">
        <color auto="1"/>
      </right>
      <top style="medium">
        <color auto="1"/>
      </top>
      <bottom/>
      <diagonal/>
    </border>
    <border>
      <left/>
      <right style="medium">
        <color auto="1"/>
      </right>
      <top/>
      <bottom/>
      <diagonal/>
    </border>
    <border>
      <left/>
      <right style="medium">
        <color auto="1"/>
      </right>
      <top/>
      <bottom style="medium">
        <color auto="1"/>
      </bottom>
      <diagonal/>
    </border>
    <border>
      <left/>
      <right/>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thin">
        <color auto="1"/>
      </left>
      <right style="medium">
        <color indexed="64"/>
      </right>
      <top/>
      <bottom style="medium">
        <color indexed="64"/>
      </bottom>
      <diagonal/>
    </border>
    <border>
      <left/>
      <right style="medium">
        <color auto="1"/>
      </right>
      <top style="thin">
        <color auto="1"/>
      </top>
      <bottom style="medium">
        <color auto="1"/>
      </bottom>
      <diagonal/>
    </border>
    <border>
      <left/>
      <right style="medium">
        <color auto="1"/>
      </right>
      <top style="medium">
        <color auto="1"/>
      </top>
      <bottom style="thin">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top style="medium">
        <color auto="1"/>
      </top>
      <bottom style="medium">
        <color auto="1"/>
      </bottom>
      <diagonal/>
    </border>
    <border>
      <left style="thin">
        <color auto="1"/>
      </left>
      <right style="thin">
        <color auto="1"/>
      </right>
      <top style="thin">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right style="medium">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thick">
        <color auto="1"/>
      </bottom>
      <diagonal/>
    </border>
    <border>
      <left style="medium">
        <color indexed="64"/>
      </left>
      <right/>
      <top style="medium">
        <color auto="1"/>
      </top>
      <bottom style="thin">
        <color auto="1"/>
      </bottom>
      <diagonal/>
    </border>
    <border>
      <left style="medium">
        <color indexed="64"/>
      </left>
      <right/>
      <top style="thin">
        <color auto="1"/>
      </top>
      <bottom style="thin">
        <color auto="1"/>
      </bottom>
      <diagonal/>
    </border>
    <border>
      <left style="medium">
        <color indexed="64"/>
      </left>
      <right style="thin">
        <color auto="1"/>
      </right>
      <top style="thin">
        <color auto="1"/>
      </top>
      <bottom style="medium">
        <color auto="1"/>
      </bottom>
      <diagonal/>
    </border>
    <border>
      <left style="medium">
        <color indexed="64"/>
      </left>
      <right style="thin">
        <color auto="1"/>
      </right>
      <top style="medium">
        <color auto="1"/>
      </top>
      <bottom/>
      <diagonal/>
    </border>
    <border>
      <left style="medium">
        <color indexed="64"/>
      </left>
      <right style="thin">
        <color auto="1"/>
      </right>
      <top/>
      <bottom style="medium">
        <color auto="1"/>
      </bottom>
      <diagonal/>
    </border>
    <border>
      <left style="medium">
        <color indexed="64"/>
      </left>
      <right/>
      <top/>
      <bottom style="thin">
        <color auto="1"/>
      </bottom>
      <diagonal/>
    </border>
    <border>
      <left style="medium">
        <color indexed="64"/>
      </left>
      <right/>
      <top style="thin">
        <color auto="1"/>
      </top>
      <bottom style="medium">
        <color auto="1"/>
      </bottom>
      <diagonal/>
    </border>
    <border>
      <left/>
      <right style="thin">
        <color indexed="64"/>
      </right>
      <top style="thin">
        <color indexed="64"/>
      </top>
      <bottom/>
      <diagonal/>
    </border>
    <border>
      <left/>
      <right style="thin">
        <color indexed="64"/>
      </right>
      <top/>
      <bottom style="thin">
        <color indexed="64"/>
      </bottom>
      <diagonal/>
    </border>
    <border>
      <left/>
      <right style="thin">
        <color auto="1"/>
      </right>
      <top style="thin">
        <color auto="1"/>
      </top>
      <bottom style="medium">
        <color auto="1"/>
      </bottom>
      <diagonal/>
    </border>
    <border>
      <left style="medium">
        <color auto="1"/>
      </left>
      <right style="thin">
        <color auto="1"/>
      </right>
      <top style="thin">
        <color auto="1"/>
      </top>
      <bottom/>
      <diagonal/>
    </border>
    <border>
      <left style="medium">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s>
  <cellStyleXfs count="1">
    <xf numFmtId="0" fontId="0" fillId="0" borderId="0"/>
  </cellStyleXfs>
  <cellXfs count="259">
    <xf numFmtId="0" fontId="0" fillId="0" borderId="0" xfId="0"/>
    <xf numFmtId="0" fontId="0" fillId="0" borderId="0" xfId="0" applyAlignment="1">
      <alignment horizontal="left" vertical="center" wrapText="1"/>
    </xf>
    <xf numFmtId="0" fontId="2" fillId="0" borderId="0" xfId="0" applyFont="1" applyAlignment="1">
      <alignment horizontal="center" vertical="top" wrapText="1"/>
    </xf>
    <xf numFmtId="0" fontId="2" fillId="0" borderId="0" xfId="0" applyFont="1" applyAlignment="1">
      <alignment horizontal="center" vertical="center" wrapText="1"/>
    </xf>
    <xf numFmtId="164" fontId="4" fillId="0" borderId="0" xfId="0" applyNumberFormat="1" applyFont="1"/>
    <xf numFmtId="1" fontId="0" fillId="0" borderId="0" xfId="0" applyNumberFormat="1" applyAlignment="1">
      <alignment horizontal="center" vertical="top"/>
    </xf>
    <xf numFmtId="1" fontId="0" fillId="0" borderId="0" xfId="0" applyNumberFormat="1" applyAlignment="1">
      <alignment horizontal="center" vertical="center"/>
    </xf>
    <xf numFmtId="0" fontId="0" fillId="0" borderId="0" xfId="0" applyAlignment="1">
      <alignment horizontal="center" vertical="center" wrapText="1"/>
    </xf>
    <xf numFmtId="0" fontId="2" fillId="0" borderId="24" xfId="0" applyFont="1" applyBorder="1" applyAlignment="1">
      <alignment horizontal="center" vertical="center" wrapText="1"/>
    </xf>
    <xf numFmtId="0" fontId="0" fillId="0" borderId="0" xfId="0" applyAlignment="1">
      <alignment wrapText="1"/>
    </xf>
    <xf numFmtId="0" fontId="0" fillId="0" borderId="0" xfId="0" applyAlignment="1">
      <alignment horizontal="right"/>
    </xf>
    <xf numFmtId="165" fontId="0" fillId="0" borderId="0" xfId="0" applyNumberFormat="1"/>
    <xf numFmtId="0" fontId="2" fillId="0" borderId="0" xfId="0" applyFont="1"/>
    <xf numFmtId="165" fontId="7" fillId="0" borderId="0" xfId="0" applyNumberFormat="1" applyFont="1" applyAlignment="1">
      <alignment horizontal="right" vertical="center" readingOrder="1"/>
    </xf>
    <xf numFmtId="165" fontId="0" fillId="0" borderId="0" xfId="0" applyNumberFormat="1" applyAlignment="1">
      <alignment horizontal="right" readingOrder="1"/>
    </xf>
    <xf numFmtId="0" fontId="0" fillId="0" borderId="0" xfId="0" applyAlignment="1" applyProtection="1">
      <alignment horizontal="center" vertical="center" wrapText="1"/>
      <protection hidden="1"/>
    </xf>
    <xf numFmtId="0" fontId="2" fillId="0" borderId="0" xfId="0" applyFont="1" applyAlignment="1" applyProtection="1">
      <alignment horizontal="center" vertical="center" wrapText="1"/>
      <protection hidden="1"/>
    </xf>
    <xf numFmtId="0" fontId="2" fillId="0" borderId="0" xfId="0" applyFont="1" applyAlignment="1" applyProtection="1">
      <alignment horizontal="center" vertical="top" wrapText="1"/>
      <protection hidden="1"/>
    </xf>
    <xf numFmtId="0" fontId="0" fillId="0" borderId="0" xfId="0" applyAlignment="1">
      <alignment horizontal="left" vertical="top" wrapText="1"/>
    </xf>
    <xf numFmtId="0" fontId="0" fillId="0" borderId="0" xfId="0" applyAlignment="1">
      <alignment horizontal="center" vertical="center"/>
    </xf>
    <xf numFmtId="0" fontId="0" fillId="0" borderId="0" xfId="0" applyAlignment="1">
      <alignment horizontal="center"/>
    </xf>
    <xf numFmtId="0" fontId="0" fillId="0" borderId="0" xfId="0" applyAlignment="1">
      <alignment horizontal="center" vertical="top" wrapText="1"/>
    </xf>
    <xf numFmtId="0" fontId="0" fillId="0" borderId="0" xfId="0" applyAlignment="1">
      <alignment horizontal="center" vertical="top"/>
    </xf>
    <xf numFmtId="0" fontId="0" fillId="0" borderId="0" xfId="0" applyAlignment="1">
      <alignment horizontal="right" vertical="center" wrapText="1"/>
    </xf>
    <xf numFmtId="0" fontId="0" fillId="0" borderId="0" xfId="0" applyAlignment="1" applyProtection="1">
      <alignment horizontal="center" vertical="center" wrapText="1"/>
      <protection locked="0"/>
    </xf>
    <xf numFmtId="0" fontId="0" fillId="0" borderId="0" xfId="0" applyAlignment="1">
      <alignment vertical="center" wrapText="1"/>
    </xf>
    <xf numFmtId="0" fontId="0" fillId="0" borderId="0" xfId="0" applyAlignment="1">
      <alignment horizontal="right" vertical="center"/>
    </xf>
    <xf numFmtId="14" fontId="0" fillId="0" borderId="0" xfId="0" applyNumberFormat="1" applyAlignment="1">
      <alignment vertical="center" wrapText="1"/>
    </xf>
    <xf numFmtId="0" fontId="23" fillId="3" borderId="6" xfId="0" applyFont="1" applyFill="1" applyBorder="1" applyAlignment="1" applyProtection="1">
      <alignment horizontal="center" vertical="center" wrapText="1"/>
      <protection locked="0"/>
    </xf>
    <xf numFmtId="0" fontId="23" fillId="0" borderId="8" xfId="0" applyFont="1" applyBorder="1" applyAlignment="1">
      <alignment horizontal="left" vertical="center" wrapText="1"/>
    </xf>
    <xf numFmtId="0" fontId="23" fillId="3" borderId="11" xfId="0" applyFont="1" applyFill="1" applyBorder="1" applyAlignment="1" applyProtection="1">
      <alignment horizontal="center" vertical="center" wrapText="1"/>
      <protection locked="0"/>
    </xf>
    <xf numFmtId="0" fontId="23" fillId="0" borderId="48" xfId="0" applyFont="1" applyBorder="1" applyAlignment="1">
      <alignment horizontal="left" vertical="center" wrapText="1"/>
    </xf>
    <xf numFmtId="0" fontId="0" fillId="0" borderId="8" xfId="0" applyBorder="1" applyAlignment="1">
      <alignment horizontal="left" vertical="center" wrapText="1"/>
    </xf>
    <xf numFmtId="0" fontId="29" fillId="0" borderId="35" xfId="0" applyFont="1" applyBorder="1" applyAlignment="1">
      <alignment horizontal="center" vertical="center" wrapText="1"/>
    </xf>
    <xf numFmtId="0" fontId="29" fillId="3" borderId="5" xfId="0" applyFont="1" applyFill="1" applyBorder="1" applyAlignment="1" applyProtection="1">
      <alignment horizontal="left" vertical="center" wrapText="1"/>
      <protection locked="0"/>
    </xf>
    <xf numFmtId="0" fontId="29" fillId="3" borderId="5" xfId="0" applyFont="1" applyFill="1" applyBorder="1" applyAlignment="1" applyProtection="1">
      <alignment horizontal="center" vertical="center" wrapText="1"/>
      <protection locked="0"/>
    </xf>
    <xf numFmtId="0" fontId="29" fillId="3" borderId="24" xfId="0" applyFont="1" applyFill="1" applyBorder="1" applyAlignment="1" applyProtection="1">
      <alignment horizontal="center" vertical="center" wrapText="1"/>
      <protection locked="0"/>
    </xf>
    <xf numFmtId="0" fontId="29" fillId="3" borderId="8" xfId="0" applyFont="1" applyFill="1" applyBorder="1" applyAlignment="1" applyProtection="1">
      <alignment horizontal="center" vertical="center" wrapText="1"/>
      <protection locked="0"/>
    </xf>
    <xf numFmtId="0" fontId="29" fillId="3" borderId="35" xfId="0" applyFont="1" applyFill="1" applyBorder="1" applyAlignment="1" applyProtection="1">
      <alignment horizontal="center" vertical="center" wrapText="1"/>
      <protection locked="0"/>
    </xf>
    <xf numFmtId="0" fontId="29" fillId="0" borderId="5" xfId="0" applyFont="1" applyBorder="1" applyAlignment="1">
      <alignment horizontal="center" vertical="center" wrapText="1"/>
    </xf>
    <xf numFmtId="0" fontId="29" fillId="0" borderId="24" xfId="0" applyFont="1" applyBorder="1" applyAlignment="1">
      <alignment horizontal="center" vertical="center" wrapText="1"/>
    </xf>
    <xf numFmtId="16" fontId="29" fillId="3" borderId="5" xfId="0" applyNumberFormat="1" applyFont="1" applyFill="1" applyBorder="1" applyAlignment="1" applyProtection="1">
      <alignment horizontal="left" vertical="center" wrapText="1"/>
      <protection locked="0"/>
    </xf>
    <xf numFmtId="0" fontId="28" fillId="0" borderId="31" xfId="0" applyFont="1" applyBorder="1" applyAlignment="1">
      <alignment horizontal="center" vertical="center" wrapText="1"/>
    </xf>
    <xf numFmtId="0" fontId="28" fillId="0" borderId="13" xfId="0" applyFont="1" applyBorder="1" applyAlignment="1">
      <alignment horizontal="left" vertical="center" wrapText="1"/>
    </xf>
    <xf numFmtId="0" fontId="28" fillId="0" borderId="33" xfId="0" applyFont="1" applyBorder="1" applyAlignment="1">
      <alignment horizontal="center" vertical="center" wrapText="1"/>
    </xf>
    <xf numFmtId="2" fontId="28" fillId="2" borderId="33" xfId="0" applyNumberFormat="1" applyFont="1" applyFill="1" applyBorder="1" applyAlignment="1">
      <alignment horizontal="center" vertical="center" wrapText="1"/>
    </xf>
    <xf numFmtId="0" fontId="29" fillId="0" borderId="20" xfId="0" applyFont="1" applyBorder="1" applyAlignment="1">
      <alignment horizontal="center" vertical="center" wrapText="1"/>
    </xf>
    <xf numFmtId="0" fontId="29" fillId="0" borderId="14" xfId="0" applyFont="1" applyBorder="1" applyAlignment="1">
      <alignment horizontal="left" vertical="top" wrapText="1"/>
    </xf>
    <xf numFmtId="0" fontId="29" fillId="0" borderId="40" xfId="0" applyFont="1" applyBorder="1" applyAlignment="1">
      <alignment horizontal="left" vertical="top" wrapText="1"/>
    </xf>
    <xf numFmtId="0" fontId="28" fillId="0" borderId="7" xfId="0" applyFont="1" applyBorder="1"/>
    <xf numFmtId="0" fontId="29" fillId="0" borderId="7" xfId="0" applyFont="1" applyBorder="1"/>
    <xf numFmtId="0" fontId="29" fillId="0" borderId="30" xfId="0" applyFont="1" applyBorder="1"/>
    <xf numFmtId="0" fontId="29" fillId="0" borderId="14" xfId="0" applyFont="1" applyBorder="1" applyAlignment="1">
      <alignment vertical="top"/>
    </xf>
    <xf numFmtId="0" fontId="29" fillId="0" borderId="5" xfId="0" applyFont="1" applyBorder="1"/>
    <xf numFmtId="0" fontId="29" fillId="0" borderId="7" xfId="0" applyFont="1" applyBorder="1" applyAlignment="1">
      <alignment wrapText="1"/>
    </xf>
    <xf numFmtId="0" fontId="29" fillId="0" borderId="3" xfId="0" applyFont="1" applyBorder="1"/>
    <xf numFmtId="0" fontId="29" fillId="0" borderId="4" xfId="0" applyFont="1" applyBorder="1" applyAlignment="1">
      <alignment horizontal="center" vertical="center" wrapText="1"/>
    </xf>
    <xf numFmtId="0" fontId="29" fillId="0" borderId="4" xfId="0" applyFont="1" applyBorder="1" applyAlignment="1">
      <alignment horizontal="left" vertical="top" wrapText="1"/>
    </xf>
    <xf numFmtId="0" fontId="29" fillId="0" borderId="21" xfId="0" applyFont="1" applyBorder="1" applyAlignment="1">
      <alignment horizontal="center" vertical="center" wrapText="1"/>
    </xf>
    <xf numFmtId="0" fontId="29" fillId="0" borderId="34" xfId="0" applyFont="1" applyBorder="1" applyAlignment="1">
      <alignment horizontal="left" vertical="top" wrapText="1"/>
    </xf>
    <xf numFmtId="0" fontId="28" fillId="0" borderId="15" xfId="0" applyFont="1" applyBorder="1"/>
    <xf numFmtId="0" fontId="29" fillId="0" borderId="15" xfId="0" applyFont="1" applyBorder="1" applyAlignment="1">
      <alignment horizontal="center" vertical="center" wrapText="1"/>
    </xf>
    <xf numFmtId="0" fontId="29" fillId="0" borderId="15" xfId="0" applyFont="1" applyBorder="1" applyAlignment="1">
      <alignment horizontal="center" wrapText="1"/>
    </xf>
    <xf numFmtId="0" fontId="29" fillId="0" borderId="15" xfId="0" applyFont="1" applyBorder="1" applyAlignment="1">
      <alignment horizontal="center"/>
    </xf>
    <xf numFmtId="0" fontId="29" fillId="0" borderId="23" xfId="0" applyFont="1" applyBorder="1"/>
    <xf numFmtId="0" fontId="29" fillId="0" borderId="35" xfId="0" applyFont="1" applyBorder="1" applyAlignment="1">
      <alignment horizontal="left" vertical="top" wrapText="1"/>
    </xf>
    <xf numFmtId="0" fontId="29" fillId="0" borderId="5" xfId="0" applyFont="1" applyBorder="1" applyAlignment="1">
      <alignment horizontal="center" vertical="center"/>
    </xf>
    <xf numFmtId="0" fontId="29" fillId="0" borderId="5" xfId="0" applyFont="1" applyBorder="1" applyAlignment="1">
      <alignment horizontal="center"/>
    </xf>
    <xf numFmtId="0" fontId="29" fillId="0" borderId="24" xfId="0" applyFont="1" applyBorder="1"/>
    <xf numFmtId="165" fontId="29" fillId="0" borderId="5" xfId="0" applyNumberFormat="1" applyFont="1" applyBorder="1" applyAlignment="1">
      <alignment horizontal="center" vertical="center"/>
    </xf>
    <xf numFmtId="165" fontId="29" fillId="0" borderId="5" xfId="0" applyNumberFormat="1" applyFont="1" applyBorder="1" applyAlignment="1">
      <alignment horizontal="center"/>
    </xf>
    <xf numFmtId="0" fontId="29" fillId="0" borderId="41" xfId="0" applyFont="1" applyBorder="1" applyAlignment="1">
      <alignment horizontal="left" vertical="top" wrapText="1"/>
    </xf>
    <xf numFmtId="0" fontId="29" fillId="0" borderId="32" xfId="0" applyFont="1" applyBorder="1"/>
    <xf numFmtId="165" fontId="29" fillId="0" borderId="32" xfId="0" applyNumberFormat="1" applyFont="1" applyBorder="1" applyAlignment="1">
      <alignment horizontal="center" vertical="center"/>
    </xf>
    <xf numFmtId="0" fontId="29" fillId="0" borderId="32" xfId="0" applyFont="1" applyBorder="1" applyAlignment="1">
      <alignment horizontal="center" vertical="center" wrapText="1"/>
    </xf>
    <xf numFmtId="0" fontId="29" fillId="0" borderId="32" xfId="0" applyFont="1" applyBorder="1" applyAlignment="1">
      <alignment horizontal="center"/>
    </xf>
    <xf numFmtId="165" fontId="29" fillId="0" borderId="32" xfId="0" applyNumberFormat="1" applyFont="1" applyBorder="1" applyAlignment="1">
      <alignment horizontal="center"/>
    </xf>
    <xf numFmtId="0" fontId="29" fillId="0" borderId="25" xfId="0" applyFont="1" applyBorder="1"/>
    <xf numFmtId="0" fontId="29" fillId="0" borderId="42" xfId="0" applyFont="1" applyBorder="1" applyAlignment="1">
      <alignment horizontal="left" vertical="top" wrapText="1"/>
    </xf>
    <xf numFmtId="0" fontId="29" fillId="0" borderId="19" xfId="0" applyFont="1" applyBorder="1"/>
    <xf numFmtId="0" fontId="29" fillId="0" borderId="18" xfId="0" applyFont="1" applyBorder="1" applyAlignment="1">
      <alignment horizontal="center" vertical="center" wrapText="1"/>
    </xf>
    <xf numFmtId="0" fontId="29" fillId="0" borderId="17" xfId="0" applyFont="1" applyBorder="1"/>
    <xf numFmtId="0" fontId="29" fillId="0" borderId="37" xfId="0" applyFont="1" applyBorder="1"/>
    <xf numFmtId="0" fontId="29" fillId="0" borderId="43" xfId="0" applyFont="1" applyBorder="1" applyAlignment="1">
      <alignment horizontal="left" vertical="top" wrapText="1"/>
    </xf>
    <xf numFmtId="0" fontId="29" fillId="0" borderId="16" xfId="0" applyFont="1" applyBorder="1"/>
    <xf numFmtId="0" fontId="29" fillId="0" borderId="16" xfId="0" applyFont="1" applyBorder="1" applyAlignment="1">
      <alignment horizontal="center" vertical="center" wrapText="1"/>
    </xf>
    <xf numFmtId="165" fontId="29" fillId="0" borderId="16" xfId="0" applyNumberFormat="1" applyFont="1" applyBorder="1"/>
    <xf numFmtId="0" fontId="29" fillId="0" borderId="26" xfId="0" applyFont="1" applyBorder="1"/>
    <xf numFmtId="0" fontId="29" fillId="0" borderId="1" xfId="0" applyFont="1" applyBorder="1" applyAlignment="1">
      <alignment horizontal="left" vertical="top" wrapText="1"/>
    </xf>
    <xf numFmtId="0" fontId="29" fillId="0" borderId="2" xfId="0" applyFont="1" applyBorder="1" applyAlignment="1">
      <alignment horizontal="left" vertical="top" wrapText="1"/>
    </xf>
    <xf numFmtId="0" fontId="29" fillId="0" borderId="2"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40"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30" xfId="0" applyFont="1" applyBorder="1" applyAlignment="1">
      <alignment horizontal="center" vertical="center" wrapText="1"/>
    </xf>
    <xf numFmtId="0" fontId="29" fillId="0" borderId="7" xfId="0" applyFont="1" applyBorder="1" applyAlignment="1">
      <alignment horizontal="right"/>
    </xf>
    <xf numFmtId="0" fontId="29" fillId="0" borderId="6" xfId="0" applyFont="1" applyBorder="1"/>
    <xf numFmtId="0" fontId="29" fillId="0" borderId="45" xfId="0" applyFont="1" applyBorder="1" applyAlignment="1">
      <alignment horizontal="left" vertical="top" wrapText="1"/>
    </xf>
    <xf numFmtId="0" fontId="29" fillId="0" borderId="12" xfId="0" applyFont="1" applyBorder="1" applyAlignment="1">
      <alignment horizontal="right"/>
    </xf>
    <xf numFmtId="0" fontId="29" fillId="0" borderId="12" xfId="0" applyFont="1" applyBorder="1"/>
    <xf numFmtId="0" fontId="29" fillId="0" borderId="11" xfId="0" applyFont="1" applyBorder="1"/>
    <xf numFmtId="0" fontId="29" fillId="0" borderId="12" xfId="0" applyFont="1" applyBorder="1" applyAlignment="1">
      <alignment horizontal="center" vertical="center" wrapText="1"/>
    </xf>
    <xf numFmtId="0" fontId="29" fillId="0" borderId="27" xfId="0" applyFont="1" applyBorder="1" applyAlignment="1">
      <alignment horizontal="center" vertical="center" wrapText="1"/>
    </xf>
    <xf numFmtId="0" fontId="28" fillId="0" borderId="2" xfId="0" applyFont="1" applyBorder="1"/>
    <xf numFmtId="0" fontId="29" fillId="0" borderId="2" xfId="0" applyFont="1" applyBorder="1"/>
    <xf numFmtId="2" fontId="29" fillId="0" borderId="5" xfId="0" applyNumberFormat="1" applyFont="1" applyBorder="1"/>
    <xf numFmtId="0" fontId="29" fillId="0" borderId="20" xfId="0" applyFont="1" applyBorder="1"/>
    <xf numFmtId="0" fontId="28" fillId="0" borderId="1" xfId="0" applyFont="1" applyBorder="1" applyAlignment="1">
      <alignment horizontal="left" vertical="center"/>
    </xf>
    <xf numFmtId="0" fontId="29" fillId="0" borderId="0" xfId="0" applyFont="1" applyAlignment="1">
      <alignment horizontal="center" vertical="center" wrapText="1"/>
    </xf>
    <xf numFmtId="0" fontId="28" fillId="2" borderId="14" xfId="0" applyFont="1" applyFill="1" applyBorder="1" applyAlignment="1">
      <alignment horizontal="center" vertical="center" wrapText="1"/>
    </xf>
    <xf numFmtId="0" fontId="28" fillId="2" borderId="20" xfId="0" applyFont="1" applyFill="1" applyBorder="1" applyAlignment="1">
      <alignment horizontal="center" vertical="center" wrapText="1"/>
    </xf>
    <xf numFmtId="0" fontId="29" fillId="2" borderId="14" xfId="0" applyFont="1" applyFill="1" applyBorder="1" applyAlignment="1">
      <alignment horizontal="center" vertical="center" wrapText="1"/>
    </xf>
    <xf numFmtId="0" fontId="29" fillId="2" borderId="0" xfId="0" applyFont="1" applyFill="1" applyAlignment="1">
      <alignment horizontal="center" vertical="center" wrapText="1"/>
    </xf>
    <xf numFmtId="0" fontId="25" fillId="0" borderId="0" xfId="0" applyFont="1" applyAlignment="1">
      <alignment vertical="top"/>
    </xf>
    <xf numFmtId="0" fontId="29" fillId="0" borderId="0" xfId="0" applyFont="1" applyAlignment="1">
      <alignment horizontal="left" vertical="top" wrapText="1"/>
    </xf>
    <xf numFmtId="0" fontId="29" fillId="0" borderId="0" xfId="0" applyFont="1" applyAlignment="1">
      <alignment wrapText="1"/>
    </xf>
    <xf numFmtId="0" fontId="29" fillId="0" borderId="0" xfId="0" applyFont="1"/>
    <xf numFmtId="2" fontId="29" fillId="0" borderId="0" xfId="0" applyNumberFormat="1" applyFont="1"/>
    <xf numFmtId="0" fontId="29" fillId="0" borderId="0" xfId="0" applyFont="1" applyAlignment="1">
      <alignment horizontal="left" vertical="center" indent="1"/>
    </xf>
    <xf numFmtId="0" fontId="29" fillId="0" borderId="0" xfId="0" applyFont="1" applyAlignment="1">
      <alignment horizontal="left" vertical="center" wrapText="1"/>
    </xf>
    <xf numFmtId="0" fontId="28" fillId="0" borderId="0" xfId="0" applyFont="1" applyAlignment="1">
      <alignment vertical="center"/>
    </xf>
    <xf numFmtId="2" fontId="28" fillId="0" borderId="0" xfId="0" applyNumberFormat="1" applyFont="1" applyAlignment="1">
      <alignment horizontal="center" vertical="center" wrapText="1"/>
    </xf>
    <xf numFmtId="0" fontId="29" fillId="0" borderId="0" xfId="0" applyFont="1" applyAlignment="1">
      <alignment vertical="center" wrapText="1"/>
    </xf>
    <xf numFmtId="2" fontId="28" fillId="3" borderId="0" xfId="0" applyNumberFormat="1" applyFont="1" applyFill="1" applyAlignment="1" applyProtection="1">
      <alignment horizontal="center" vertical="center" wrapText="1"/>
      <protection locked="0"/>
    </xf>
    <xf numFmtId="165" fontId="23" fillId="0" borderId="6" xfId="0" applyNumberFormat="1" applyFont="1" applyBorder="1" applyAlignment="1">
      <alignment horizontal="center" vertical="center" wrapText="1"/>
    </xf>
    <xf numFmtId="14" fontId="23" fillId="0" borderId="30" xfId="0" applyNumberFormat="1" applyFont="1" applyBorder="1" applyAlignment="1">
      <alignment vertical="center" wrapText="1"/>
    </xf>
    <xf numFmtId="14" fontId="23" fillId="0" borderId="27" xfId="0" applyNumberFormat="1" applyFont="1" applyBorder="1" applyAlignment="1">
      <alignment vertical="center" wrapText="1"/>
    </xf>
    <xf numFmtId="0" fontId="29" fillId="0" borderId="50" xfId="0" applyFont="1" applyBorder="1" applyAlignment="1">
      <alignment horizontal="center" vertical="center" wrapText="1"/>
    </xf>
    <xf numFmtId="0" fontId="29" fillId="3" borderId="53" xfId="0" applyFont="1" applyFill="1" applyBorder="1" applyAlignment="1" applyProtection="1">
      <alignment horizontal="left" vertical="center" wrapText="1"/>
      <protection locked="0"/>
    </xf>
    <xf numFmtId="0" fontId="29" fillId="3" borderId="53" xfId="0" applyFont="1" applyFill="1" applyBorder="1" applyAlignment="1" applyProtection="1">
      <alignment horizontal="center" vertical="center" wrapText="1"/>
      <protection locked="0"/>
    </xf>
    <xf numFmtId="0" fontId="29" fillId="3" borderId="54" xfId="0" applyFont="1" applyFill="1" applyBorder="1" applyAlignment="1" applyProtection="1">
      <alignment horizontal="center" vertical="center" wrapText="1"/>
      <protection locked="0"/>
    </xf>
    <xf numFmtId="0" fontId="29" fillId="3" borderId="47" xfId="0" applyFont="1" applyFill="1" applyBorder="1" applyAlignment="1" applyProtection="1">
      <alignment horizontal="center" vertical="center" wrapText="1"/>
      <protection locked="0"/>
    </xf>
    <xf numFmtId="0" fontId="29" fillId="3" borderId="50" xfId="0" applyFont="1" applyFill="1" applyBorder="1" applyAlignment="1" applyProtection="1">
      <alignment horizontal="center" vertical="center" wrapText="1"/>
      <protection locked="0"/>
    </xf>
    <xf numFmtId="0" fontId="29" fillId="0" borderId="53" xfId="0" applyFont="1" applyBorder="1" applyAlignment="1">
      <alignment horizontal="center" vertical="center" wrapText="1"/>
    </xf>
    <xf numFmtId="0" fontId="29" fillId="0" borderId="54" xfId="0" applyFont="1" applyBorder="1" applyAlignment="1">
      <alignment horizontal="center" vertical="center" wrapText="1"/>
    </xf>
    <xf numFmtId="0" fontId="28" fillId="2" borderId="0" xfId="0" applyFont="1" applyFill="1" applyAlignment="1">
      <alignment horizontal="left" vertical="center" wrapText="1"/>
    </xf>
    <xf numFmtId="0" fontId="28" fillId="2" borderId="0" xfId="0" applyFont="1" applyFill="1" applyAlignment="1">
      <alignment horizontal="right" vertical="center" wrapText="1"/>
    </xf>
    <xf numFmtId="0" fontId="28" fillId="2" borderId="3" xfId="0" applyFont="1" applyFill="1" applyBorder="1" applyAlignment="1">
      <alignment horizontal="center" vertical="center" wrapText="1"/>
    </xf>
    <xf numFmtId="0" fontId="28" fillId="2" borderId="4" xfId="0" applyFont="1" applyFill="1" applyBorder="1" applyAlignment="1">
      <alignment horizontal="left" vertical="center" wrapText="1"/>
    </xf>
    <xf numFmtId="0" fontId="28" fillId="2" borderId="4" xfId="0" applyFont="1" applyFill="1" applyBorder="1" applyAlignment="1">
      <alignment horizontal="right" vertical="center" wrapText="1"/>
    </xf>
    <xf numFmtId="0" fontId="28" fillId="2" borderId="21" xfId="0" applyFont="1" applyFill="1" applyBorder="1" applyAlignment="1">
      <alignment horizontal="center" vertical="center" wrapText="1"/>
    </xf>
    <xf numFmtId="0" fontId="29" fillId="2" borderId="0" xfId="0" applyFont="1" applyFill="1" applyAlignment="1">
      <alignment horizontal="left" vertical="center" wrapText="1"/>
    </xf>
    <xf numFmtId="0" fontId="0" fillId="2" borderId="4" xfId="0" applyFill="1" applyBorder="1" applyAlignment="1">
      <alignment horizontal="right" vertical="center" wrapText="1"/>
    </xf>
    <xf numFmtId="0" fontId="0" fillId="2" borderId="4" xfId="0" applyFill="1" applyBorder="1" applyAlignment="1">
      <alignment horizontal="center" vertical="center" wrapText="1"/>
    </xf>
    <xf numFmtId="0" fontId="0" fillId="2" borderId="4" xfId="0" applyFill="1" applyBorder="1" applyAlignment="1">
      <alignment horizontal="left" vertical="center" wrapText="1"/>
    </xf>
    <xf numFmtId="0" fontId="20" fillId="2" borderId="4" xfId="0" applyFont="1" applyFill="1" applyBorder="1" applyAlignment="1">
      <alignment vertical="center" wrapText="1"/>
    </xf>
    <xf numFmtId="0" fontId="0" fillId="2" borderId="4" xfId="0" applyFill="1" applyBorder="1" applyAlignment="1">
      <alignment vertical="center" wrapText="1"/>
    </xf>
    <xf numFmtId="14" fontId="0" fillId="2" borderId="4" xfId="0" applyNumberFormat="1" applyFill="1" applyBorder="1" applyAlignment="1">
      <alignment vertical="center" wrapText="1"/>
    </xf>
    <xf numFmtId="0" fontId="29" fillId="2" borderId="8" xfId="0" applyFont="1" applyFill="1" applyBorder="1" applyAlignment="1">
      <alignment horizontal="center" vertical="center" wrapText="1"/>
    </xf>
    <xf numFmtId="0" fontId="29" fillId="2" borderId="24" xfId="0" applyFont="1" applyFill="1" applyBorder="1" applyAlignment="1">
      <alignment horizontal="center" vertical="center" wrapText="1"/>
    </xf>
    <xf numFmtId="0" fontId="29" fillId="2" borderId="35" xfId="0" applyFont="1" applyFill="1" applyBorder="1" applyAlignment="1">
      <alignment horizontal="center" vertical="center" wrapText="1"/>
    </xf>
    <xf numFmtId="0" fontId="29" fillId="2" borderId="5" xfId="0" applyFont="1" applyFill="1" applyBorder="1" applyAlignment="1">
      <alignment horizontal="center" vertical="center" wrapText="1"/>
    </xf>
    <xf numFmtId="0" fontId="28" fillId="0" borderId="0" xfId="0" applyFont="1" applyAlignment="1">
      <alignment horizontal="left" vertical="center"/>
    </xf>
    <xf numFmtId="0" fontId="29" fillId="0" borderId="3" xfId="0" applyFont="1" applyBorder="1" applyAlignment="1">
      <alignment horizontal="left" vertical="top" wrapText="1"/>
    </xf>
    <xf numFmtId="0" fontId="28" fillId="0" borderId="4" xfId="0" applyFont="1" applyBorder="1" applyAlignment="1">
      <alignment vertical="center"/>
    </xf>
    <xf numFmtId="2" fontId="28" fillId="0" borderId="4" xfId="0" applyNumberFormat="1" applyFont="1" applyBorder="1" applyAlignment="1">
      <alignment vertical="center" wrapText="1"/>
    </xf>
    <xf numFmtId="0" fontId="29" fillId="0" borderId="4" xfId="0" applyFont="1" applyBorder="1" applyAlignment="1">
      <alignment vertical="center" wrapText="1"/>
    </xf>
    <xf numFmtId="0" fontId="29" fillId="0" borderId="4" xfId="0" applyFont="1" applyBorder="1"/>
    <xf numFmtId="0" fontId="29" fillId="0" borderId="0" xfId="0" applyFont="1" applyAlignment="1">
      <alignment horizontal="right" vertical="center" wrapText="1"/>
    </xf>
    <xf numFmtId="0" fontId="28" fillId="0" borderId="14" xfId="0" applyFont="1" applyBorder="1" applyAlignment="1">
      <alignment horizontal="left" vertical="center"/>
    </xf>
    <xf numFmtId="0" fontId="28" fillId="0" borderId="0" xfId="0" applyFont="1" applyAlignment="1">
      <alignment horizontal="right" vertical="center" wrapText="1"/>
    </xf>
    <xf numFmtId="0" fontId="28" fillId="0" borderId="0" xfId="0" applyFont="1" applyAlignment="1">
      <alignment horizontal="center" vertical="center" wrapText="1"/>
    </xf>
    <xf numFmtId="0" fontId="28" fillId="0" borderId="0" xfId="0" applyFont="1" applyAlignment="1">
      <alignment horizontal="left" vertical="center" wrapText="1"/>
    </xf>
    <xf numFmtId="0" fontId="28" fillId="0" borderId="20" xfId="0" applyFont="1" applyBorder="1" applyAlignment="1">
      <alignment horizontal="center" vertical="center" wrapText="1"/>
    </xf>
    <xf numFmtId="0" fontId="29" fillId="0" borderId="14" xfId="0" applyFont="1" applyBorder="1" applyAlignment="1">
      <alignment horizontal="center" vertical="center" wrapText="1"/>
    </xf>
    <xf numFmtId="0" fontId="29" fillId="0" borderId="0" xfId="0" applyFont="1" applyAlignment="1">
      <alignment horizontal="left"/>
    </xf>
    <xf numFmtId="0" fontId="29" fillId="0" borderId="0" xfId="0" applyFont="1" applyAlignment="1">
      <alignment horizontal="center" vertical="top"/>
    </xf>
    <xf numFmtId="0" fontId="29" fillId="0" borderId="0" xfId="0" applyFont="1" applyAlignment="1">
      <alignment vertical="top"/>
    </xf>
    <xf numFmtId="0" fontId="29" fillId="0" borderId="0" xfId="0" applyFont="1" applyAlignment="1">
      <alignment horizontal="left" vertical="center"/>
    </xf>
    <xf numFmtId="0" fontId="29" fillId="0" borderId="0" xfId="0" applyFont="1" applyAlignment="1">
      <alignment vertical="top" wrapText="1"/>
    </xf>
    <xf numFmtId="0" fontId="29" fillId="0" borderId="0" xfId="0" applyFont="1" applyAlignment="1">
      <alignment horizontal="left" vertical="top"/>
    </xf>
    <xf numFmtId="0" fontId="28" fillId="0" borderId="0" xfId="0" applyFont="1" applyAlignment="1">
      <alignment vertical="top"/>
    </xf>
    <xf numFmtId="0" fontId="35" fillId="0" borderId="0" xfId="0" applyFont="1" applyAlignment="1">
      <alignment horizontal="center" vertical="center" wrapText="1"/>
    </xf>
    <xf numFmtId="0" fontId="28" fillId="0" borderId="0" xfId="0" applyFont="1" applyAlignment="1">
      <alignment vertical="center" wrapText="1"/>
    </xf>
    <xf numFmtId="0" fontId="35" fillId="0" borderId="0" xfId="0" applyFont="1" applyAlignment="1">
      <alignment vertical="center" wrapText="1"/>
    </xf>
    <xf numFmtId="0" fontId="29" fillId="0" borderId="4" xfId="0" applyFont="1" applyBorder="1" applyAlignment="1">
      <alignment vertical="top" wrapText="1"/>
    </xf>
    <xf numFmtId="0" fontId="28" fillId="2" borderId="49" xfId="0" applyFont="1" applyFill="1" applyBorder="1" applyAlignment="1">
      <alignment horizontal="center" vertical="top" wrapText="1"/>
    </xf>
    <xf numFmtId="0" fontId="28" fillId="2" borderId="51" xfId="0" applyFont="1" applyFill="1" applyBorder="1" applyAlignment="1">
      <alignment horizontal="left" vertical="top" wrapText="1"/>
    </xf>
    <xf numFmtId="0" fontId="28" fillId="2" borderId="51" xfId="0" applyFont="1" applyFill="1" applyBorder="1" applyAlignment="1">
      <alignment horizontal="center" vertical="top" wrapText="1"/>
    </xf>
    <xf numFmtId="0" fontId="28" fillId="2" borderId="52" xfId="0" applyFont="1" applyFill="1" applyBorder="1" applyAlignment="1">
      <alignment horizontal="center" vertical="top" wrapText="1"/>
    </xf>
    <xf numFmtId="0" fontId="28" fillId="2" borderId="46" xfId="0" applyFont="1" applyFill="1" applyBorder="1" applyAlignment="1">
      <alignment horizontal="center" vertical="top" wrapText="1"/>
    </xf>
    <xf numFmtId="0" fontId="28" fillId="2" borderId="43" xfId="0" applyFont="1" applyFill="1" applyBorder="1" applyAlignment="1">
      <alignment horizontal="center" vertical="center" wrapText="1"/>
    </xf>
    <xf numFmtId="0" fontId="28" fillId="2" borderId="16" xfId="0" applyFont="1" applyFill="1" applyBorder="1" applyAlignment="1">
      <alignment horizontal="left" vertical="center" wrapText="1"/>
    </xf>
    <xf numFmtId="0" fontId="28" fillId="2" borderId="16" xfId="0" applyFont="1" applyFill="1" applyBorder="1" applyAlignment="1">
      <alignment horizontal="center" vertical="center" wrapText="1"/>
    </xf>
    <xf numFmtId="0" fontId="28" fillId="2" borderId="26" xfId="0" applyFont="1" applyFill="1" applyBorder="1" applyAlignment="1">
      <alignment horizontal="center" vertical="center" wrapText="1"/>
    </xf>
    <xf numFmtId="0" fontId="28" fillId="2" borderId="0" xfId="0" applyFont="1" applyFill="1" applyAlignment="1">
      <alignment vertical="center" wrapText="1"/>
    </xf>
    <xf numFmtId="0" fontId="28" fillId="0" borderId="5" xfId="0" applyFont="1" applyBorder="1" applyAlignment="1">
      <alignment horizontal="right" vertical="center" wrapText="1"/>
    </xf>
    <xf numFmtId="0" fontId="24" fillId="0" borderId="5" xfId="0" applyFont="1" applyBorder="1" applyAlignment="1">
      <alignment horizontal="right" vertical="center" wrapText="1"/>
    </xf>
    <xf numFmtId="0" fontId="26" fillId="0" borderId="40" xfId="0" applyFont="1" applyBorder="1" applyAlignment="1">
      <alignment horizontal="right" vertical="center" wrapText="1"/>
    </xf>
    <xf numFmtId="0" fontId="26" fillId="0" borderId="8" xfId="0" applyFont="1" applyBorder="1" applyAlignment="1">
      <alignment horizontal="right" vertical="center" wrapText="1"/>
    </xf>
    <xf numFmtId="14" fontId="27" fillId="3" borderId="6" xfId="0" applyNumberFormat="1" applyFont="1" applyFill="1" applyBorder="1" applyAlignment="1" applyProtection="1">
      <alignment horizontal="center" vertical="center"/>
      <protection locked="0"/>
    </xf>
    <xf numFmtId="14" fontId="27" fillId="3" borderId="30" xfId="0" applyNumberFormat="1" applyFont="1" applyFill="1" applyBorder="1" applyAlignment="1" applyProtection="1">
      <alignment horizontal="center" vertical="center"/>
      <protection locked="0"/>
    </xf>
    <xf numFmtId="0" fontId="25" fillId="4" borderId="39" xfId="0" applyFont="1" applyFill="1" applyBorder="1" applyAlignment="1">
      <alignment horizontal="left" vertical="top" wrapText="1" indent="1"/>
    </xf>
    <xf numFmtId="0" fontId="25" fillId="4" borderId="9" xfId="0" applyFont="1" applyFill="1" applyBorder="1" applyAlignment="1">
      <alignment horizontal="left" vertical="top" wrapText="1" indent="1"/>
    </xf>
    <xf numFmtId="0" fontId="25" fillId="4" borderId="28" xfId="0" applyFont="1" applyFill="1" applyBorder="1" applyAlignment="1">
      <alignment horizontal="left" vertical="top" wrapText="1" indent="1"/>
    </xf>
    <xf numFmtId="0" fontId="23" fillId="0" borderId="7"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3" fillId="0" borderId="48" xfId="0" applyFont="1" applyBorder="1" applyAlignment="1">
      <alignment horizontal="left" vertical="center" wrapText="1"/>
    </xf>
    <xf numFmtId="0" fontId="28" fillId="0" borderId="32" xfId="0" applyFont="1" applyBorder="1" applyAlignment="1">
      <alignment horizontal="right" vertical="center" wrapText="1"/>
    </xf>
    <xf numFmtId="0" fontId="28" fillId="0" borderId="35" xfId="0" applyFont="1" applyBorder="1" applyAlignment="1">
      <alignment horizontal="right" vertical="center" wrapText="1"/>
    </xf>
    <xf numFmtId="0" fontId="27" fillId="3" borderId="6" xfId="0" applyFont="1" applyFill="1" applyBorder="1" applyAlignment="1" applyProtection="1">
      <alignment horizontal="center" vertical="center" wrapText="1"/>
      <protection locked="0"/>
    </xf>
    <xf numFmtId="0" fontId="27" fillId="3" borderId="8" xfId="0" applyFont="1" applyFill="1" applyBorder="1" applyAlignment="1" applyProtection="1">
      <alignment horizontal="center" vertical="center" wrapText="1"/>
      <protection locked="0"/>
    </xf>
    <xf numFmtId="0" fontId="38" fillId="0" borderId="6" xfId="0" applyFont="1" applyBorder="1" applyAlignment="1">
      <alignment horizontal="right" vertical="center" wrapText="1"/>
    </xf>
    <xf numFmtId="0" fontId="38" fillId="0" borderId="8" xfId="0" applyFont="1" applyBorder="1" applyAlignment="1">
      <alignment horizontal="right" vertical="center" wrapText="1"/>
    </xf>
    <xf numFmtId="14" fontId="30" fillId="3" borderId="6" xfId="0" applyNumberFormat="1" applyFont="1" applyFill="1" applyBorder="1" applyAlignment="1" applyProtection="1">
      <alignment horizontal="center" vertical="center" wrapText="1"/>
      <protection locked="0"/>
    </xf>
    <xf numFmtId="14" fontId="30" fillId="3" borderId="8" xfId="0" applyNumberFormat="1" applyFont="1" applyFill="1" applyBorder="1" applyAlignment="1" applyProtection="1">
      <alignment horizontal="center" vertical="center" wrapText="1"/>
      <protection locked="0"/>
    </xf>
    <xf numFmtId="0" fontId="28" fillId="0" borderId="6" xfId="0" applyFont="1" applyBorder="1" applyAlignment="1">
      <alignment horizontal="right" vertical="center" wrapText="1"/>
    </xf>
    <xf numFmtId="0" fontId="28" fillId="0" borderId="7" xfId="0" applyFont="1" applyBorder="1" applyAlignment="1">
      <alignment horizontal="right" vertical="center" wrapText="1"/>
    </xf>
    <xf numFmtId="0" fontId="28" fillId="0" borderId="8" xfId="0" applyFont="1" applyBorder="1" applyAlignment="1">
      <alignment horizontal="right" vertical="center" wrapText="1"/>
    </xf>
    <xf numFmtId="0" fontId="27" fillId="3" borderId="5" xfId="0" applyFont="1" applyFill="1" applyBorder="1" applyAlignment="1" applyProtection="1">
      <alignment horizontal="center" vertical="center" wrapText="1"/>
      <protection locked="0"/>
    </xf>
    <xf numFmtId="0" fontId="29" fillId="0" borderId="0" xfId="0" applyFont="1" applyAlignment="1">
      <alignment horizontal="left" vertical="center" wrapText="1"/>
    </xf>
    <xf numFmtId="0" fontId="29" fillId="0" borderId="0" xfId="0" applyFont="1" applyAlignment="1">
      <alignment horizontal="center" vertical="center" wrapText="1"/>
    </xf>
    <xf numFmtId="0" fontId="29" fillId="2" borderId="3" xfId="0" applyFont="1" applyFill="1" applyBorder="1" applyAlignment="1">
      <alignment horizontal="left" vertical="top" wrapText="1"/>
    </xf>
    <xf numFmtId="0" fontId="29" fillId="2" borderId="4" xfId="0" applyFont="1" applyFill="1" applyBorder="1" applyAlignment="1">
      <alignment horizontal="left" vertical="top" wrapText="1"/>
    </xf>
    <xf numFmtId="0" fontId="29" fillId="2" borderId="31" xfId="0" applyFont="1" applyFill="1" applyBorder="1" applyAlignment="1">
      <alignment horizontal="left" vertical="top" wrapText="1"/>
    </xf>
    <xf numFmtId="0" fontId="29" fillId="2" borderId="13" xfId="0" applyFont="1" applyFill="1" applyBorder="1" applyAlignment="1">
      <alignment horizontal="left" vertical="top" wrapText="1"/>
    </xf>
    <xf numFmtId="0" fontId="29" fillId="0" borderId="44" xfId="0" applyFont="1" applyBorder="1" applyAlignment="1">
      <alignment horizontal="center" wrapText="1"/>
    </xf>
    <xf numFmtId="0" fontId="29" fillId="0" borderId="22" xfId="0" applyFont="1" applyBorder="1" applyAlignment="1">
      <alignment horizontal="center"/>
    </xf>
    <xf numFmtId="0" fontId="29" fillId="0" borderId="29" xfId="0" applyFont="1" applyBorder="1" applyAlignment="1">
      <alignment horizontal="center"/>
    </xf>
    <xf numFmtId="0" fontId="29" fillId="0" borderId="38" xfId="0" applyFont="1" applyBorder="1" applyAlignment="1">
      <alignment horizontal="center" wrapText="1"/>
    </xf>
    <xf numFmtId="0" fontId="28" fillId="0" borderId="0" xfId="0" applyFont="1" applyAlignment="1">
      <alignment horizontal="right" vertical="center"/>
    </xf>
    <xf numFmtId="0" fontId="28" fillId="0" borderId="39"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28"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23" xfId="0" applyFont="1" applyBorder="1" applyAlignment="1">
      <alignment horizontal="center" vertical="center" wrapText="1"/>
    </xf>
    <xf numFmtId="0" fontId="28" fillId="0" borderId="34" xfId="0" applyFont="1" applyBorder="1" applyAlignment="1">
      <alignment horizontal="center" vertical="center" wrapText="1"/>
    </xf>
    <xf numFmtId="0" fontId="28" fillId="0" borderId="15" xfId="0" applyFont="1" applyBorder="1" applyAlignment="1">
      <alignment horizontal="center" vertical="center" wrapText="1"/>
    </xf>
    <xf numFmtId="0" fontId="28" fillId="0" borderId="41" xfId="0" applyFont="1" applyBorder="1" applyAlignment="1">
      <alignment horizontal="right" vertical="center" wrapText="1"/>
    </xf>
    <xf numFmtId="0" fontId="0" fillId="0" borderId="0" xfId="0" applyAlignment="1">
      <alignment horizontal="center" vertical="center" wrapText="1"/>
    </xf>
    <xf numFmtId="0" fontId="2" fillId="0" borderId="0" xfId="0" applyFont="1" applyAlignment="1">
      <alignment horizontal="center"/>
    </xf>
    <xf numFmtId="0" fontId="0" fillId="0" borderId="0" xfId="0" applyAlignment="1">
      <alignment horizontal="center" vertical="center"/>
    </xf>
    <xf numFmtId="0" fontId="0" fillId="0" borderId="0" xfId="0" applyAlignment="1">
      <alignment horizontal="center"/>
    </xf>
    <xf numFmtId="0" fontId="0" fillId="0" borderId="0" xfId="0" applyAlignment="1">
      <alignment horizontal="center" vertical="top" wrapText="1"/>
    </xf>
    <xf numFmtId="0" fontId="0" fillId="0" borderId="0" xfId="0" applyAlignment="1">
      <alignment horizontal="center" vertical="top"/>
    </xf>
    <xf numFmtId="0" fontId="0" fillId="0" borderId="0" xfId="0" applyAlignment="1">
      <alignment horizontal="left" wrapText="1"/>
    </xf>
    <xf numFmtId="0" fontId="29" fillId="0" borderId="0" xfId="0" applyFont="1" applyAlignment="1">
      <alignment horizontal="left" vertical="top" wrapText="1"/>
    </xf>
    <xf numFmtId="0" fontId="28" fillId="0" borderId="31" xfId="0" applyFont="1" applyBorder="1" applyAlignment="1">
      <alignment horizontal="right" vertical="center" wrapText="1"/>
    </xf>
    <xf numFmtId="0" fontId="28" fillId="0" borderId="13" xfId="0" applyFont="1" applyBorder="1" applyAlignment="1">
      <alignment horizontal="right" vertical="center" wrapText="1"/>
    </xf>
    <xf numFmtId="0" fontId="29" fillId="0" borderId="31" xfId="0" applyFont="1" applyBorder="1" applyAlignment="1">
      <alignment horizontal="right" vertical="center" wrapText="1"/>
    </xf>
    <xf numFmtId="0" fontId="29" fillId="0" borderId="13" xfId="0" applyFont="1" applyBorder="1" applyAlignment="1">
      <alignment horizontal="right" vertical="center" wrapText="1"/>
    </xf>
    <xf numFmtId="0" fontId="28" fillId="0" borderId="31" xfId="0" applyFont="1" applyBorder="1" applyAlignment="1">
      <alignment horizontal="left" vertical="center" wrapText="1"/>
    </xf>
    <xf numFmtId="0" fontId="28" fillId="0" borderId="13" xfId="0" applyFont="1" applyBorder="1" applyAlignment="1">
      <alignment horizontal="left" vertical="center" wrapText="1"/>
    </xf>
    <xf numFmtId="0" fontId="28" fillId="0" borderId="33" xfId="0" applyFont="1" applyBorder="1" applyAlignment="1">
      <alignment horizontal="left" vertical="center" wrapText="1"/>
    </xf>
    <xf numFmtId="0" fontId="28" fillId="0" borderId="14" xfId="0" applyFont="1" applyBorder="1" applyAlignment="1">
      <alignment horizontal="left" vertical="top" wrapText="1"/>
    </xf>
    <xf numFmtId="0" fontId="28" fillId="0" borderId="0" xfId="0" applyFont="1" applyAlignment="1">
      <alignment horizontal="left" vertical="top" wrapText="1"/>
    </xf>
    <xf numFmtId="0" fontId="29" fillId="0" borderId="31" xfId="0" applyFont="1" applyBorder="1" applyAlignment="1">
      <alignment horizontal="center" vertical="center" wrapText="1"/>
    </xf>
    <xf numFmtId="0" fontId="29" fillId="0" borderId="13" xfId="0" applyFont="1" applyBorder="1" applyAlignment="1">
      <alignment horizontal="center" vertical="center" wrapText="1"/>
    </xf>
    <xf numFmtId="0" fontId="29" fillId="0" borderId="33" xfId="0" applyFont="1" applyBorder="1" applyAlignment="1">
      <alignment horizontal="center" vertical="center" wrapText="1"/>
    </xf>
    <xf numFmtId="0" fontId="28" fillId="2" borderId="1" xfId="0" applyFont="1" applyFill="1" applyBorder="1" applyAlignment="1">
      <alignment horizontal="center" vertical="center" wrapText="1"/>
    </xf>
    <xf numFmtId="0" fontId="28" fillId="2" borderId="2" xfId="0" applyFont="1" applyFill="1" applyBorder="1" applyAlignment="1">
      <alignment horizontal="center" vertical="center" wrapText="1"/>
    </xf>
    <xf numFmtId="0" fontId="28" fillId="2" borderId="36" xfId="0" applyFont="1" applyFill="1" applyBorder="1" applyAlignment="1">
      <alignment horizontal="center" vertical="center" wrapText="1"/>
    </xf>
    <xf numFmtId="0" fontId="28" fillId="2" borderId="14" xfId="0" applyFont="1" applyFill="1" applyBorder="1" applyAlignment="1">
      <alignment horizontal="center" vertical="center" wrapText="1"/>
    </xf>
    <xf numFmtId="0" fontId="28" fillId="2" borderId="0" xfId="0" applyFont="1" applyFill="1" applyAlignment="1">
      <alignment horizontal="center" vertical="center" wrapText="1"/>
    </xf>
    <xf numFmtId="0" fontId="28" fillId="2" borderId="20" xfId="0" applyFont="1" applyFill="1" applyBorder="1" applyAlignment="1">
      <alignment horizontal="center" vertical="center" wrapText="1"/>
    </xf>
    <xf numFmtId="0" fontId="28" fillId="2" borderId="3" xfId="0" applyFont="1" applyFill="1" applyBorder="1" applyAlignment="1">
      <alignment horizontal="center" vertical="center" wrapText="1"/>
    </xf>
    <xf numFmtId="0" fontId="28" fillId="2" borderId="4" xfId="0" applyFont="1" applyFill="1" applyBorder="1" applyAlignment="1">
      <alignment horizontal="center" vertical="center" wrapText="1"/>
    </xf>
    <xf numFmtId="0" fontId="28" fillId="2" borderId="21" xfId="0" applyFont="1" applyFill="1" applyBorder="1" applyAlignment="1">
      <alignment horizontal="center" vertical="center" wrapText="1"/>
    </xf>
  </cellXfs>
  <cellStyles count="1">
    <cellStyle name="Normální" xfId="0" builtinId="0"/>
  </cellStyles>
  <dxfs count="6">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Medium9"/>
  <colors>
    <mruColors>
      <color rgb="FF008BD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cs-CZ"/>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9605690314351731"/>
          <c:y val="0.10911067324798603"/>
          <c:w val="0.60727449693788316"/>
          <c:h val="0.72025993099177266"/>
        </c:manualLayout>
      </c:layout>
      <c:scatterChart>
        <c:scatterStyle val="smoothMarker"/>
        <c:varyColors val="0"/>
        <c:ser>
          <c:idx val="0"/>
          <c:order val="0"/>
          <c:xVal>
            <c:numRef>
              <c:f>'Calculation method up to 1600 A'!$L$99:$L$103</c:f>
            </c:numRef>
          </c:xVal>
          <c:yVal>
            <c:numRef>
              <c:f>'Calculation method up to 1600 A'!$M$99:$M$103</c:f>
            </c:numRef>
          </c:yVal>
          <c:smooth val="1"/>
          <c:extLst>
            <c:ext xmlns:c16="http://schemas.microsoft.com/office/drawing/2014/chart" uri="{C3380CC4-5D6E-409C-BE32-E72D297353CC}">
              <c16:uniqueId val="{00000000-98DB-4E25-9D73-8BF67C0CFA79}"/>
            </c:ext>
          </c:extLst>
        </c:ser>
        <c:dLbls>
          <c:showLegendKey val="0"/>
          <c:showVal val="0"/>
          <c:showCatName val="0"/>
          <c:showSerName val="0"/>
          <c:showPercent val="0"/>
          <c:showBubbleSize val="0"/>
        </c:dLbls>
        <c:axId val="89583616"/>
        <c:axId val="89585920"/>
      </c:scatterChart>
      <c:valAx>
        <c:axId val="89583616"/>
        <c:scaling>
          <c:orientation val="minMax"/>
        </c:scaling>
        <c:delete val="0"/>
        <c:axPos val="b"/>
        <c:majorGridlines/>
        <c:title>
          <c:tx>
            <c:rich>
              <a:bodyPr/>
              <a:lstStyle/>
              <a:p>
                <a:pPr>
                  <a:defRPr/>
                </a:pPr>
                <a:r>
                  <a:rPr lang="cs-CZ" sz="1800" b="1" i="0" baseline="0"/>
                  <a:t>Oteplení vzduchu </a:t>
                </a:r>
              </a:p>
              <a:p>
                <a:pPr>
                  <a:defRPr/>
                </a:pPr>
                <a:r>
                  <a:rPr lang="cs-CZ" sz="1800" b="1" i="0" baseline="0"/>
                  <a:t>uvnitř skříně v </a:t>
                </a:r>
                <a:r>
                  <a:rPr lang="de-DE" sz="1800" b="1" i="0" baseline="0"/>
                  <a:t>K </a:t>
                </a:r>
                <a:endParaRPr lang="cs-CZ"/>
              </a:p>
              <a:p>
                <a:pPr>
                  <a:defRPr/>
                </a:pPr>
                <a:endParaRPr lang="de-DE"/>
              </a:p>
            </c:rich>
          </c:tx>
          <c:overlay val="0"/>
        </c:title>
        <c:numFmt formatCode="General" sourceLinked="1"/>
        <c:majorTickMark val="out"/>
        <c:minorTickMark val="cross"/>
        <c:tickLblPos val="nextTo"/>
        <c:crossAx val="89585920"/>
        <c:crosses val="autoZero"/>
        <c:crossBetween val="midCat"/>
      </c:valAx>
      <c:valAx>
        <c:axId val="89585920"/>
        <c:scaling>
          <c:orientation val="minMax"/>
          <c:max val="1"/>
          <c:min val="0"/>
        </c:scaling>
        <c:delete val="0"/>
        <c:axPos val="l"/>
        <c:majorGridlines/>
        <c:title>
          <c:tx>
            <c:rich>
              <a:bodyPr rot="-5400000" vert="horz"/>
              <a:lstStyle/>
              <a:p>
                <a:pPr marL="0" marR="0" indent="0" algn="ctr" defTabSz="914400" rtl="0" eaLnBrk="1" fontAlgn="auto" latinLnBrk="0" hangingPunct="1">
                  <a:lnSpc>
                    <a:spcPct val="100000"/>
                  </a:lnSpc>
                  <a:spcBef>
                    <a:spcPts val="0"/>
                  </a:spcBef>
                  <a:spcAft>
                    <a:spcPts val="0"/>
                  </a:spcAft>
                  <a:buClrTx/>
                  <a:buSzTx/>
                  <a:buFontTx/>
                  <a:buNone/>
                  <a:tabLst/>
                  <a:defRPr sz="1000" b="1" i="0" u="none" strike="noStrike" kern="1200" baseline="0">
                    <a:solidFill>
                      <a:sysClr val="windowText" lastClr="000000"/>
                    </a:solidFill>
                    <a:latin typeface="+mn-lt"/>
                    <a:ea typeface="+mn-ea"/>
                    <a:cs typeface="+mn-cs"/>
                  </a:defRPr>
                </a:pPr>
                <a:r>
                  <a:rPr lang="cs-CZ" sz="1800" b="1" i="0" baseline="0"/>
                  <a:t>Výškový koeficient skříně</a:t>
                </a:r>
                <a:endParaRPr lang="de-DE" sz="1800" b="1" i="0" baseline="0"/>
              </a:p>
            </c:rich>
          </c:tx>
          <c:overlay val="0"/>
        </c:title>
        <c:numFmt formatCode="0.00" sourceLinked="1"/>
        <c:majorTickMark val="out"/>
        <c:minorTickMark val="none"/>
        <c:tickLblPos val="nextTo"/>
        <c:crossAx val="89583616"/>
        <c:crossesAt val="0"/>
        <c:crossBetween val="midCat"/>
        <c:majorUnit val="0.25"/>
      </c:valAx>
    </c:plotArea>
    <c:plotVisOnly val="1"/>
    <c:dispBlanksAs val="gap"/>
    <c:showDLblsOverMax val="0"/>
  </c:chart>
  <c:printSettings>
    <c:headerFooter/>
    <c:pageMargins b="0.78740157499999996" l="0.7000000000000004" r="0.7000000000000004" t="0.78740157499999996" header="0.30000000000000021" footer="0.30000000000000021"/>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8</xdr:col>
      <xdr:colOff>32014</xdr:colOff>
      <xdr:row>80</xdr:row>
      <xdr:rowOff>30427</xdr:rowOff>
    </xdr:from>
    <xdr:to>
      <xdr:col>17</xdr:col>
      <xdr:colOff>878416</xdr:colOff>
      <xdr:row>104</xdr:row>
      <xdr:rowOff>212990</xdr:rowOff>
    </xdr:to>
    <xdr:graphicFrame macro="">
      <xdr:nvGraphicFramePr>
        <xdr:cNvPr id="2" name="Diagramm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B242"/>
  <sheetViews>
    <sheetView tabSelected="1" view="pageBreakPreview" zoomScaleNormal="80" zoomScaleSheetLayoutView="100" zoomScalePageLayoutView="90" workbookViewId="0">
      <selection activeCell="C2" sqref="C2:D2"/>
    </sheetView>
  </sheetViews>
  <sheetFormatPr defaultColWidth="9.140625" defaultRowHeight="15" x14ac:dyDescent="0.25"/>
  <cols>
    <col min="1" max="1" width="7.42578125" style="7" customWidth="1"/>
    <col min="2" max="2" width="56.28515625" style="1" customWidth="1"/>
    <col min="3" max="3" width="13.28515625" style="7" customWidth="1"/>
    <col min="4" max="5" width="9.140625" style="7"/>
    <col min="6" max="6" width="10" style="7" customWidth="1"/>
    <col min="7" max="7" width="13" style="7" customWidth="1"/>
    <col min="8" max="8" width="13.85546875" style="7" customWidth="1"/>
    <col min="9" max="9" width="12.85546875" style="7" customWidth="1"/>
    <col min="10" max="10" width="14.7109375" style="7" customWidth="1"/>
    <col min="11" max="11" width="10.85546875" style="7" customWidth="1"/>
    <col min="12" max="12" width="9.140625" style="7"/>
    <col min="13" max="13" width="10.85546875" style="7" customWidth="1"/>
    <col min="14" max="14" width="9.140625" style="7"/>
    <col min="15" max="15" width="12.5703125" style="7" customWidth="1"/>
    <col min="16" max="16" width="13.42578125" style="7" customWidth="1"/>
    <col min="17" max="17" width="12.28515625" style="7" customWidth="1"/>
    <col min="18" max="18" width="12.5703125" style="7" customWidth="1"/>
    <col min="19" max="19" width="9.140625" style="15" customWidth="1"/>
    <col min="20" max="21" width="11" style="15" hidden="1" customWidth="1"/>
    <col min="22" max="22" width="9.140625" style="15" hidden="1" customWidth="1"/>
    <col min="23" max="31" width="52" style="15" hidden="1" customWidth="1"/>
    <col min="32" max="32" width="9.140625" style="15" hidden="1" customWidth="1"/>
    <col min="33" max="33" width="9.140625" style="7" hidden="1" customWidth="1"/>
    <col min="34" max="37" width="23.140625" style="7" hidden="1" customWidth="1"/>
    <col min="38" max="38" width="15.85546875" style="7" hidden="1" customWidth="1"/>
    <col min="39" max="39" width="21.28515625" style="7" hidden="1" customWidth="1"/>
    <col min="40" max="40" width="14.5703125" style="7" hidden="1" customWidth="1"/>
    <col min="41" max="41" width="9.140625" style="7" hidden="1" customWidth="1"/>
    <col min="42" max="43" width="13" style="7" hidden="1" customWidth="1"/>
    <col min="44" max="52" width="9.140625" style="7" hidden="1" customWidth="1"/>
    <col min="53" max="53" width="9.140625" style="7" customWidth="1"/>
    <col min="54" max="57" width="27.85546875" style="7" hidden="1" customWidth="1"/>
    <col min="58" max="61" width="9.140625" style="7" hidden="1" customWidth="1"/>
    <col min="62" max="62" width="17.42578125" style="7" hidden="1" customWidth="1"/>
    <col min="63" max="63" width="29.7109375" style="7" hidden="1" customWidth="1"/>
    <col min="64" max="78" width="9.140625" style="7" hidden="1" customWidth="1"/>
    <col min="79" max="79" width="8.140625" style="7" hidden="1" customWidth="1"/>
    <col min="80" max="80" width="9.140625" style="7" hidden="1" customWidth="1"/>
    <col min="81" max="104" width="0" style="7" hidden="1" customWidth="1"/>
    <col min="105" max="16384" width="9.140625" style="7"/>
  </cols>
  <sheetData>
    <row r="1" spans="1:69" ht="155.25" customHeight="1" x14ac:dyDescent="0.25">
      <c r="A1" s="192" t="s">
        <v>246</v>
      </c>
      <c r="B1" s="193"/>
      <c r="C1" s="193"/>
      <c r="D1" s="193"/>
      <c r="E1" s="193"/>
      <c r="F1" s="193"/>
      <c r="G1" s="193"/>
      <c r="H1" s="193"/>
      <c r="I1" s="193"/>
      <c r="J1" s="193"/>
      <c r="K1" s="193"/>
      <c r="L1" s="193"/>
      <c r="M1" s="193"/>
      <c r="N1" s="193"/>
      <c r="O1" s="193"/>
      <c r="P1" s="193"/>
      <c r="Q1" s="193"/>
      <c r="R1" s="194"/>
    </row>
    <row r="2" spans="1:69" ht="25.5" customHeight="1" x14ac:dyDescent="0.25">
      <c r="A2" s="188" t="s">
        <v>214</v>
      </c>
      <c r="B2" s="189"/>
      <c r="C2" s="201" t="s">
        <v>190</v>
      </c>
      <c r="D2" s="202"/>
      <c r="E2" s="203" t="s">
        <v>171</v>
      </c>
      <c r="F2" s="204"/>
      <c r="G2" s="210" t="s">
        <v>191</v>
      </c>
      <c r="H2" s="210"/>
      <c r="I2" s="186" t="s">
        <v>177</v>
      </c>
      <c r="J2" s="186"/>
      <c r="K2" s="205">
        <f ca="1">TODAY()</f>
        <v>45307</v>
      </c>
      <c r="L2" s="206"/>
      <c r="M2" s="207" t="s">
        <v>219</v>
      </c>
      <c r="N2" s="208"/>
      <c r="O2" s="208"/>
      <c r="P2" s="209"/>
      <c r="Q2" s="190" t="s">
        <v>220</v>
      </c>
      <c r="R2" s="191"/>
    </row>
    <row r="3" spans="1:69" ht="25.5" customHeight="1" x14ac:dyDescent="0.25">
      <c r="A3" s="200" t="s">
        <v>216</v>
      </c>
      <c r="B3" s="186"/>
      <c r="C3" s="28">
        <v>2000</v>
      </c>
      <c r="D3" s="29" t="s">
        <v>0</v>
      </c>
      <c r="E3" s="187" t="s">
        <v>215</v>
      </c>
      <c r="F3" s="187"/>
      <c r="G3" s="201">
        <v>1</v>
      </c>
      <c r="H3" s="202"/>
      <c r="I3" s="207" t="s">
        <v>139</v>
      </c>
      <c r="J3" s="209"/>
      <c r="K3" s="28">
        <v>1</v>
      </c>
      <c r="L3" s="32"/>
      <c r="M3" s="186" t="s">
        <v>174</v>
      </c>
      <c r="N3" s="186"/>
      <c r="O3" s="186"/>
      <c r="P3" s="186"/>
      <c r="Q3" s="28">
        <v>35</v>
      </c>
      <c r="R3" s="125" t="s">
        <v>34</v>
      </c>
      <c r="BC3" s="113"/>
      <c r="BD3" s="113"/>
      <c r="BE3" s="113"/>
      <c r="BF3" s="113"/>
      <c r="BG3" s="113"/>
      <c r="BH3" s="113"/>
      <c r="BI3" s="113"/>
      <c r="BJ3" s="113"/>
      <c r="BK3" s="113"/>
      <c r="BL3" s="113"/>
      <c r="BM3" s="113"/>
      <c r="BN3" s="113"/>
      <c r="BO3" s="113"/>
      <c r="BP3" s="113"/>
      <c r="BQ3" s="113"/>
    </row>
    <row r="4" spans="1:69" ht="25.5" customHeight="1" x14ac:dyDescent="0.25">
      <c r="A4" s="200" t="s">
        <v>217</v>
      </c>
      <c r="B4" s="186"/>
      <c r="C4" s="28">
        <v>800</v>
      </c>
      <c r="D4" s="195" t="s">
        <v>0</v>
      </c>
      <c r="E4" s="195"/>
      <c r="F4" s="196"/>
      <c r="G4" s="186" t="s">
        <v>172</v>
      </c>
      <c r="H4" s="186"/>
      <c r="I4" s="186"/>
      <c r="J4" s="186"/>
      <c r="K4" s="124">
        <f>G89</f>
        <v>5.7119999999999997</v>
      </c>
      <c r="L4" s="29" t="s">
        <v>35</v>
      </c>
      <c r="M4" s="186" t="s">
        <v>175</v>
      </c>
      <c r="N4" s="186"/>
      <c r="O4" s="186"/>
      <c r="P4" s="186"/>
      <c r="Q4" s="28">
        <v>55</v>
      </c>
      <c r="R4" s="125" t="s">
        <v>34</v>
      </c>
      <c r="BD4"/>
      <c r="BE4"/>
      <c r="BF4"/>
      <c r="BG4"/>
      <c r="BH4"/>
    </row>
    <row r="5" spans="1:69" ht="25.5" customHeight="1" thickBot="1" x14ac:dyDescent="0.3">
      <c r="A5" s="229" t="s">
        <v>218</v>
      </c>
      <c r="B5" s="199"/>
      <c r="C5" s="30">
        <v>600</v>
      </c>
      <c r="D5" s="197" t="s">
        <v>0</v>
      </c>
      <c r="E5" s="197"/>
      <c r="F5" s="198"/>
      <c r="G5" s="199" t="s">
        <v>173</v>
      </c>
      <c r="H5" s="199"/>
      <c r="I5" s="199"/>
      <c r="J5" s="199"/>
      <c r="K5" s="30">
        <v>0</v>
      </c>
      <c r="L5" s="31" t="s">
        <v>84</v>
      </c>
      <c r="M5" s="199" t="s">
        <v>176</v>
      </c>
      <c r="N5" s="199"/>
      <c r="O5" s="199"/>
      <c r="P5" s="199"/>
      <c r="Q5" s="30">
        <v>0</v>
      </c>
      <c r="R5" s="126"/>
      <c r="BD5"/>
      <c r="BE5"/>
      <c r="BF5"/>
      <c r="BG5"/>
      <c r="BH5"/>
    </row>
    <row r="6" spans="1:69" ht="7.5" customHeight="1" thickBot="1" x14ac:dyDescent="0.3">
      <c r="A6" s="142"/>
      <c r="B6" s="142"/>
      <c r="C6" s="143"/>
      <c r="D6" s="144"/>
      <c r="E6" s="145"/>
      <c r="F6" s="146"/>
      <c r="G6" s="142"/>
      <c r="H6" s="142"/>
      <c r="I6" s="142"/>
      <c r="J6" s="142"/>
      <c r="K6" s="143"/>
      <c r="L6" s="144"/>
      <c r="M6" s="142"/>
      <c r="N6" s="142"/>
      <c r="O6" s="142"/>
      <c r="P6" s="142"/>
      <c r="Q6" s="143"/>
      <c r="R6" s="147"/>
      <c r="BD6"/>
      <c r="BE6"/>
      <c r="BF6"/>
      <c r="BG6"/>
      <c r="BH6"/>
    </row>
    <row r="7" spans="1:69" s="3" customFormat="1" ht="17.25" customHeight="1" x14ac:dyDescent="0.25">
      <c r="A7" s="222" t="s">
        <v>166</v>
      </c>
      <c r="B7" s="223"/>
      <c r="C7" s="223"/>
      <c r="D7" s="223"/>
      <c r="E7" s="223"/>
      <c r="F7" s="224"/>
      <c r="G7" s="225" t="s">
        <v>167</v>
      </c>
      <c r="H7" s="226"/>
      <c r="I7" s="227" t="s">
        <v>168</v>
      </c>
      <c r="J7" s="228"/>
      <c r="K7" s="226"/>
      <c r="L7" s="227" t="s">
        <v>169</v>
      </c>
      <c r="M7" s="228"/>
      <c r="N7" s="228"/>
      <c r="O7" s="226"/>
      <c r="P7" s="227" t="s">
        <v>170</v>
      </c>
      <c r="Q7" s="228"/>
      <c r="R7" s="226"/>
      <c r="S7" s="16"/>
      <c r="T7" s="16"/>
      <c r="U7" s="16"/>
      <c r="V7" s="16"/>
      <c r="W7" s="16"/>
      <c r="X7" s="16"/>
      <c r="Y7" s="16"/>
      <c r="Z7" s="16"/>
      <c r="AA7" s="16"/>
      <c r="AB7" s="16"/>
      <c r="AC7" s="16"/>
      <c r="AD7" s="16"/>
      <c r="AE7" s="16"/>
      <c r="AF7" s="16"/>
      <c r="BD7"/>
      <c r="BE7"/>
      <c r="BF7"/>
      <c r="BG7"/>
      <c r="BH7"/>
    </row>
    <row r="8" spans="1:69" s="2" customFormat="1" ht="77.25" customHeight="1" x14ac:dyDescent="0.25">
      <c r="A8" s="176" t="s">
        <v>156</v>
      </c>
      <c r="B8" s="177" t="s">
        <v>157</v>
      </c>
      <c r="C8" s="178" t="s">
        <v>158</v>
      </c>
      <c r="D8" s="178" t="s">
        <v>226</v>
      </c>
      <c r="E8" s="178" t="s">
        <v>15</v>
      </c>
      <c r="F8" s="179" t="s">
        <v>227</v>
      </c>
      <c r="G8" s="180" t="s">
        <v>228</v>
      </c>
      <c r="H8" s="179" t="s">
        <v>159</v>
      </c>
      <c r="I8" s="176" t="s">
        <v>228</v>
      </c>
      <c r="J8" s="178" t="s">
        <v>159</v>
      </c>
      <c r="K8" s="179" t="s">
        <v>189</v>
      </c>
      <c r="L8" s="176" t="s">
        <v>160</v>
      </c>
      <c r="M8" s="178" t="s">
        <v>229</v>
      </c>
      <c r="N8" s="178" t="s">
        <v>161</v>
      </c>
      <c r="O8" s="179" t="s">
        <v>162</v>
      </c>
      <c r="P8" s="176" t="s">
        <v>163</v>
      </c>
      <c r="Q8" s="178" t="s">
        <v>164</v>
      </c>
      <c r="R8" s="179" t="s">
        <v>165</v>
      </c>
      <c r="S8" s="17"/>
      <c r="T8" s="17" t="s">
        <v>178</v>
      </c>
      <c r="U8" s="17" t="s">
        <v>179</v>
      </c>
      <c r="V8" s="17"/>
      <c r="W8" s="17" t="s">
        <v>180</v>
      </c>
      <c r="X8" s="17" t="s">
        <v>181</v>
      </c>
      <c r="Y8" s="17" t="s">
        <v>182</v>
      </c>
      <c r="Z8" s="17" t="s">
        <v>183</v>
      </c>
      <c r="AA8" s="17" t="s">
        <v>184</v>
      </c>
      <c r="AB8" s="17" t="s">
        <v>185</v>
      </c>
      <c r="AC8" s="17" t="s">
        <v>186</v>
      </c>
      <c r="AD8" s="17" t="s">
        <v>187</v>
      </c>
      <c r="AE8" s="17" t="s">
        <v>188</v>
      </c>
      <c r="AF8" s="17"/>
      <c r="BD8"/>
      <c r="BE8"/>
      <c r="BF8"/>
      <c r="BG8"/>
      <c r="BH8"/>
    </row>
    <row r="9" spans="1:69" s="3" customFormat="1" ht="15.75" thickBot="1" x14ac:dyDescent="0.3">
      <c r="A9" s="181"/>
      <c r="B9" s="182"/>
      <c r="C9" s="183"/>
      <c r="D9" s="183" t="s">
        <v>1</v>
      </c>
      <c r="E9" s="183"/>
      <c r="F9" s="184" t="s">
        <v>1</v>
      </c>
      <c r="G9" s="181" t="s">
        <v>1</v>
      </c>
      <c r="H9" s="184" t="s">
        <v>16</v>
      </c>
      <c r="I9" s="181" t="s">
        <v>1</v>
      </c>
      <c r="J9" s="183" t="s">
        <v>16</v>
      </c>
      <c r="K9" s="184" t="s">
        <v>16</v>
      </c>
      <c r="L9" s="181"/>
      <c r="M9" s="183"/>
      <c r="N9" s="183" t="s">
        <v>17</v>
      </c>
      <c r="O9" s="184" t="s">
        <v>7</v>
      </c>
      <c r="P9" s="181" t="s">
        <v>16</v>
      </c>
      <c r="Q9" s="183" t="s">
        <v>16</v>
      </c>
      <c r="R9" s="184" t="s">
        <v>16</v>
      </c>
      <c r="S9" s="16"/>
      <c r="T9" s="16" t="s">
        <v>1</v>
      </c>
      <c r="U9" s="16" t="s">
        <v>16</v>
      </c>
      <c r="V9" s="16"/>
      <c r="W9" s="8" t="s">
        <v>7</v>
      </c>
      <c r="X9" s="8" t="s">
        <v>7</v>
      </c>
      <c r="Y9" s="8" t="s">
        <v>7</v>
      </c>
      <c r="Z9" s="16" t="s">
        <v>1</v>
      </c>
      <c r="AA9" s="16" t="s">
        <v>1</v>
      </c>
      <c r="AB9" s="16" t="s">
        <v>1</v>
      </c>
      <c r="AC9" s="16" t="s">
        <v>16</v>
      </c>
      <c r="AD9" s="16" t="s">
        <v>16</v>
      </c>
      <c r="AE9" s="16" t="s">
        <v>16</v>
      </c>
      <c r="AF9" s="16"/>
      <c r="BD9"/>
      <c r="BE9"/>
      <c r="BF9"/>
      <c r="BG9"/>
      <c r="BH9"/>
    </row>
    <row r="10" spans="1:69" ht="21" customHeight="1" x14ac:dyDescent="0.25">
      <c r="A10" s="127">
        <v>1</v>
      </c>
      <c r="B10" s="128" t="s">
        <v>192</v>
      </c>
      <c r="C10" s="129">
        <v>3</v>
      </c>
      <c r="D10" s="129">
        <v>250</v>
      </c>
      <c r="E10" s="129">
        <v>0.8</v>
      </c>
      <c r="F10" s="130">
        <f>ROUNDUP(IF(F60&gt;D10*E10,D10*E10,F60),1)</f>
        <v>200</v>
      </c>
      <c r="G10" s="131">
        <v>320</v>
      </c>
      <c r="H10" s="130">
        <v>10</v>
      </c>
      <c r="I10" s="132"/>
      <c r="J10" s="129"/>
      <c r="K10" s="130"/>
      <c r="L10" s="132">
        <v>3</v>
      </c>
      <c r="M10" s="129">
        <v>3</v>
      </c>
      <c r="N10" s="129">
        <v>0.6</v>
      </c>
      <c r="O10" s="130">
        <v>120</v>
      </c>
      <c r="P10" s="127">
        <f t="shared" ref="P10" si="0">IF(F10&gt;0,ROUNDUP(((F10*F10)/(T10*T10))*U10*L10*N10,2),)</f>
        <v>13.16</v>
      </c>
      <c r="Q10" s="133">
        <f>ROUNDUP(IF(AND(G10&gt;0,I10&gt;0),((F10*F10)/(G10*G10)*H10*C10)+((F10*F10)/(I10*I10)*J10*C10)+K10,IF(AND(G10&gt;0,I10=0),((F10*F10)/(G10*G10)*H10*C10)+K10,IF(AND(G10=0,I10&gt;0),((F10*F10)/(I10*I10)*J10*C10)+K10,0))),2)</f>
        <v>11.72</v>
      </c>
      <c r="R10" s="134">
        <f>P10+Q10</f>
        <v>24.880000000000003</v>
      </c>
      <c r="T10" s="15">
        <f t="shared" ref="T10:T16" si="1">IF(M10=1,Z10,IF(M10=2,AA10,IF(M10=3,AB10,"")))</f>
        <v>242</v>
      </c>
      <c r="U10" s="15">
        <f t="shared" ref="U10:U12" si="2">IF(M10=1,AC10,IF(M10=2,AD10,IF(M10=3,AE10,"")))</f>
        <v>10.7</v>
      </c>
      <c r="W10" s="15" t="str">
        <f t="shared" ref="W10:W41" si="3">IF($D10*1.25&gt;$AJ$132,"Příliš vysoký proud pro vodič; použijte přípojnici",INDEX($AJ$120:$AL$132,MATCH($D10*1.25-0.1,$AJ$120:$AJ$132,3)+1,3))</f>
        <v>Příliš vysoký proud pro vodič; použijte přípojnici</v>
      </c>
      <c r="X10" s="15" t="str">
        <f t="shared" ref="X10:X41" si="4">IF($D10*1.25&gt;$AJ$158,"Příliš vysoký proud pro vodič; použijte přípojnici",INDEX($AJ$143:$AL$158,MATCH($D10*1.25-0.1,$AJ$143:$AJ$158,3)+1,3))</f>
        <v>Příliš vysoký proud pro vodič; použijte přípojnici</v>
      </c>
      <c r="Y10" s="15">
        <f t="shared" ref="Y10:Y41" si="5">IF($D10*1.25&gt;$AJ$218,"Příliš vysoký proud pro vodič; použijte přípojnici",INDEX($AJ$166:$AL$218,MATCH($D10*1.25-0.1,$AJ$166:$AJ$218,3)+1,3))</f>
        <v>185</v>
      </c>
      <c r="Z10" s="15" t="str">
        <f t="shared" ref="Z10:Z41" si="6">IF($D10*1.25&gt;$AJ$132,"Příliš vysoký proud pro vodič; použijte přípojnici",INDEX($AJ$120:$AL$132,MATCH($O10-0.1,$AL$120:$AL$132,3)+1,1))</f>
        <v>Příliš vysoký proud pro vodič; použijte přípojnici</v>
      </c>
      <c r="AA10" s="15" t="str">
        <f t="shared" ref="AA10:AA41" si="7">IF($D10*1.25&gt;$AJ$158,"Příliš vysoký proud pro vodič; použijte přípojnici",INDEX($AJ$143:$AL$158,MATCH($O10-0.1,$AL$143:$AL$158,3)+1,1))</f>
        <v>Příliš vysoký proud pro vodič; použijte přípojnici</v>
      </c>
      <c r="AB10" s="15">
        <f t="shared" ref="AB10:AB41" si="8">IF($D10*1.25&gt;$AJ$218,"Příliš vysoký proud pro vodič; použijte přípojnici",INDEX($AJ$166:$AL$218,MATCH($O10,$AL$166:$AL$218,0),1))</f>
        <v>242</v>
      </c>
      <c r="AC10" s="15" t="str">
        <f t="shared" ref="AC10:AC41" si="9">IF($D10*1.25&gt;$AJ$132,"Příliš vysoký proud pro vodič; použijte přípojnici",INDEX($AJ$120:$AL$132,MATCH($O10-0.1,$AL$120:$AL$132,3)+1,2))</f>
        <v>Příliš vysoký proud pro vodič; použijte přípojnici</v>
      </c>
      <c r="AD10" s="15" t="str">
        <f t="shared" ref="AD10:AD41" si="10">IF($D10*1.25&gt;$AJ$158,"Příliš vysoký proud pro vodič; použijte přípojnici",INDEX($AJ$143:$AL$158,MATCH($O10-0.1,$AL$143:$AL$158,3)+1,2))</f>
        <v>Příliš vysoký proud pro vodič; použijte přípojnici</v>
      </c>
      <c r="AE10" s="15">
        <f t="shared" ref="AE10:AE41" si="11">IF($D10*1.25&gt;$AJ$218,"Strom für Leitung zu hoch;Schiene verwenden",INDEX($AJ$166:$AL$218,MATCH($O10,$AL$166:$AL$218,0),2))</f>
        <v>10.7</v>
      </c>
      <c r="BD10"/>
      <c r="BE10"/>
      <c r="BF10"/>
      <c r="BG10"/>
      <c r="BH10"/>
    </row>
    <row r="11" spans="1:69" ht="21" customHeight="1" x14ac:dyDescent="0.25">
      <c r="A11" s="33">
        <v>2</v>
      </c>
      <c r="B11" s="34" t="s">
        <v>155</v>
      </c>
      <c r="C11" s="35">
        <v>3</v>
      </c>
      <c r="D11" s="35">
        <v>250</v>
      </c>
      <c r="E11" s="35">
        <v>0.8</v>
      </c>
      <c r="F11" s="36">
        <f t="shared" ref="F11:F19" si="12">ROUNDUP(D11*E11,1)</f>
        <v>200</v>
      </c>
      <c r="G11" s="148"/>
      <c r="H11" s="149"/>
      <c r="I11" s="150"/>
      <c r="J11" s="151"/>
      <c r="K11" s="149"/>
      <c r="L11" s="38">
        <v>3</v>
      </c>
      <c r="M11" s="35">
        <v>4</v>
      </c>
      <c r="N11" s="35">
        <v>0.8</v>
      </c>
      <c r="O11" s="36" t="s">
        <v>26</v>
      </c>
      <c r="P11" s="33"/>
      <c r="Q11" s="39"/>
      <c r="R11" s="40">
        <f>AJ242</f>
        <v>7</v>
      </c>
      <c r="T11" s="15" t="str">
        <f t="shared" si="1"/>
        <v/>
      </c>
      <c r="U11" s="15" t="str">
        <f t="shared" si="2"/>
        <v/>
      </c>
      <c r="V11" s="19"/>
      <c r="W11" s="15" t="str">
        <f t="shared" si="3"/>
        <v>Příliš vysoký proud pro vodič; použijte přípojnici</v>
      </c>
      <c r="X11" s="15" t="str">
        <f t="shared" si="4"/>
        <v>Příliš vysoký proud pro vodič; použijte přípojnici</v>
      </c>
      <c r="Y11" s="15">
        <f t="shared" si="5"/>
        <v>185</v>
      </c>
      <c r="Z11" s="15" t="str">
        <f t="shared" si="6"/>
        <v>Příliš vysoký proud pro vodič; použijte přípojnici</v>
      </c>
      <c r="AA11" s="15" t="str">
        <f t="shared" si="7"/>
        <v>Příliš vysoký proud pro vodič; použijte přípojnici</v>
      </c>
      <c r="AB11" s="15">
        <f t="shared" si="8"/>
        <v>447</v>
      </c>
      <c r="AC11" s="15" t="str">
        <f t="shared" si="9"/>
        <v>Příliš vysoký proud pro vodič; použijte přípojnici</v>
      </c>
      <c r="AD11" s="15" t="str">
        <f t="shared" si="10"/>
        <v>Příliš vysoký proud pro vodič; použijte přípojnici</v>
      </c>
      <c r="AE11" s="15">
        <f t="shared" si="11"/>
        <v>33.1</v>
      </c>
      <c r="BD11"/>
      <c r="BE11"/>
      <c r="BF11"/>
      <c r="BG11"/>
      <c r="BH11"/>
    </row>
    <row r="12" spans="1:69" ht="35.25" customHeight="1" x14ac:dyDescent="0.25">
      <c r="A12" s="33">
        <v>3</v>
      </c>
      <c r="B12" s="34" t="s">
        <v>193</v>
      </c>
      <c r="C12" s="35"/>
      <c r="D12" s="35"/>
      <c r="E12" s="35">
        <v>1</v>
      </c>
      <c r="F12" s="36">
        <v>0</v>
      </c>
      <c r="G12" s="148" t="s">
        <v>20</v>
      </c>
      <c r="H12" s="149" t="s">
        <v>20</v>
      </c>
      <c r="I12" s="150" t="s">
        <v>20</v>
      </c>
      <c r="J12" s="151" t="s">
        <v>20</v>
      </c>
      <c r="K12" s="149" t="s">
        <v>20</v>
      </c>
      <c r="L12" s="150" t="s">
        <v>20</v>
      </c>
      <c r="M12" s="151" t="s">
        <v>20</v>
      </c>
      <c r="N12" s="151" t="s">
        <v>20</v>
      </c>
      <c r="O12" s="149"/>
      <c r="P12" s="33" t="s">
        <v>20</v>
      </c>
      <c r="Q12" s="39" t="s">
        <v>20</v>
      </c>
      <c r="R12" s="36"/>
      <c r="T12" s="15" t="str">
        <f t="shared" si="1"/>
        <v/>
      </c>
      <c r="U12" s="15" t="str">
        <f t="shared" si="2"/>
        <v/>
      </c>
      <c r="V12" s="19"/>
      <c r="W12" s="15">
        <f t="shared" si="3"/>
        <v>1.5</v>
      </c>
      <c r="X12" s="15">
        <f t="shared" si="4"/>
        <v>1.5</v>
      </c>
      <c r="Y12" s="15">
        <f t="shared" si="5"/>
        <v>1.5</v>
      </c>
      <c r="Z12" s="15">
        <f t="shared" si="6"/>
        <v>8</v>
      </c>
      <c r="AA12" s="15">
        <f t="shared" si="7"/>
        <v>9</v>
      </c>
      <c r="AB12" s="15" t="e">
        <f t="shared" si="8"/>
        <v>#N/A</v>
      </c>
      <c r="AC12" s="15">
        <f t="shared" si="9"/>
        <v>0.8</v>
      </c>
      <c r="AD12" s="15">
        <f t="shared" si="10"/>
        <v>1.3</v>
      </c>
      <c r="AE12" s="15" t="e">
        <f t="shared" si="11"/>
        <v>#N/A</v>
      </c>
      <c r="BD12"/>
      <c r="BE12"/>
      <c r="BF12"/>
      <c r="BG12"/>
      <c r="BH12"/>
    </row>
    <row r="13" spans="1:69" ht="35.25" customHeight="1" x14ac:dyDescent="0.25">
      <c r="A13" s="33">
        <v>4</v>
      </c>
      <c r="B13" s="34" t="s">
        <v>194</v>
      </c>
      <c r="C13" s="35"/>
      <c r="D13" s="35"/>
      <c r="E13" s="35"/>
      <c r="F13" s="36">
        <v>0</v>
      </c>
      <c r="G13" s="148" t="s">
        <v>20</v>
      </c>
      <c r="H13" s="149" t="s">
        <v>20</v>
      </c>
      <c r="I13" s="150" t="s">
        <v>20</v>
      </c>
      <c r="J13" s="151" t="s">
        <v>20</v>
      </c>
      <c r="K13" s="149" t="s">
        <v>20</v>
      </c>
      <c r="L13" s="150" t="s">
        <v>20</v>
      </c>
      <c r="M13" s="151" t="s">
        <v>20</v>
      </c>
      <c r="N13" s="151" t="s">
        <v>20</v>
      </c>
      <c r="O13" s="149" t="s">
        <v>20</v>
      </c>
      <c r="P13" s="33" t="s">
        <v>20</v>
      </c>
      <c r="Q13" s="39" t="s">
        <v>20</v>
      </c>
      <c r="R13" s="36">
        <v>150</v>
      </c>
      <c r="T13" s="15" t="str">
        <f t="shared" si="1"/>
        <v/>
      </c>
      <c r="U13" s="15" t="str">
        <f t="shared" ref="U13:U29" si="13">IF(M13=1,AC13,IF(M13=2,AD13,IF(M13=3,AE13,"")))</f>
        <v/>
      </c>
      <c r="V13" s="19"/>
      <c r="W13" s="15">
        <f t="shared" si="3"/>
        <v>1.5</v>
      </c>
      <c r="X13" s="15">
        <f t="shared" si="4"/>
        <v>1.5</v>
      </c>
      <c r="Y13" s="15">
        <f t="shared" si="5"/>
        <v>1.5</v>
      </c>
      <c r="Z13" s="15" t="e">
        <f t="shared" si="6"/>
        <v>#VALUE!</v>
      </c>
      <c r="AA13" s="15" t="e">
        <f t="shared" si="7"/>
        <v>#VALUE!</v>
      </c>
      <c r="AB13" s="15" t="e">
        <f t="shared" si="8"/>
        <v>#N/A</v>
      </c>
      <c r="AC13" s="15" t="e">
        <f t="shared" si="9"/>
        <v>#VALUE!</v>
      </c>
      <c r="AD13" s="15" t="e">
        <f t="shared" si="10"/>
        <v>#VALUE!</v>
      </c>
      <c r="AE13" s="15" t="e">
        <f t="shared" si="11"/>
        <v>#N/A</v>
      </c>
      <c r="BD13"/>
      <c r="BE13"/>
      <c r="BF13"/>
      <c r="BG13"/>
      <c r="BH13"/>
    </row>
    <row r="14" spans="1:69" ht="21" customHeight="1" x14ac:dyDescent="0.25">
      <c r="A14" s="33">
        <v>5</v>
      </c>
      <c r="B14" s="34"/>
      <c r="C14" s="35">
        <v>3</v>
      </c>
      <c r="D14" s="35">
        <v>0</v>
      </c>
      <c r="E14" s="35">
        <v>1</v>
      </c>
      <c r="F14" s="36">
        <f t="shared" si="12"/>
        <v>0</v>
      </c>
      <c r="G14" s="37">
        <v>0</v>
      </c>
      <c r="H14" s="36">
        <v>0</v>
      </c>
      <c r="I14" s="38">
        <v>0</v>
      </c>
      <c r="J14" s="35">
        <v>0</v>
      </c>
      <c r="K14" s="36">
        <v>0</v>
      </c>
      <c r="L14" s="38">
        <v>3</v>
      </c>
      <c r="M14" s="35">
        <v>1</v>
      </c>
      <c r="N14" s="35">
        <v>1</v>
      </c>
      <c r="O14" s="36">
        <v>16</v>
      </c>
      <c r="P14" s="33">
        <f t="shared" ref="P14:P29" si="14">IF(F14&gt;0,ROUNDUP(((F14*F14)/(T14*T14))*U14*L14*N14,2),)</f>
        <v>0</v>
      </c>
      <c r="Q14" s="39">
        <f t="shared" ref="Q14:Q19" si="15">ROUNDUP(IF(AND(G14&gt;0,I14&gt;0),((F14*F14)/(G14*G14)*H14*C14)+((F14*F14)/(I14*I14)*J14*C14)+K14,IF(AND(G14&gt;0,I14=0),((F14*F14)/(G14*G14)*H14*C14)+K14,IF(AND(G14=0,I14&gt;0),((F14*F14)/(I14*I14)*J14*C14)+K14,0))),2)</f>
        <v>0</v>
      </c>
      <c r="R14" s="40">
        <f t="shared" ref="R14:R19" si="16">P14+Q14</f>
        <v>0</v>
      </c>
      <c r="T14" s="15">
        <f t="shared" si="1"/>
        <v>33</v>
      </c>
      <c r="U14" s="15">
        <f t="shared" si="13"/>
        <v>1.5</v>
      </c>
      <c r="V14" s="19"/>
      <c r="W14" s="15">
        <f t="shared" si="3"/>
        <v>1.5</v>
      </c>
      <c r="X14" s="15">
        <f t="shared" si="4"/>
        <v>1.5</v>
      </c>
      <c r="Y14" s="15">
        <f t="shared" si="5"/>
        <v>1.5</v>
      </c>
      <c r="Z14" s="15">
        <f t="shared" si="6"/>
        <v>33</v>
      </c>
      <c r="AA14" s="15">
        <f t="shared" si="7"/>
        <v>44</v>
      </c>
      <c r="AB14" s="15">
        <f t="shared" si="8"/>
        <v>67</v>
      </c>
      <c r="AC14" s="15">
        <f t="shared" si="9"/>
        <v>1.5</v>
      </c>
      <c r="AD14" s="15">
        <f t="shared" si="10"/>
        <v>2.7</v>
      </c>
      <c r="AE14" s="15">
        <f t="shared" si="11"/>
        <v>6.2</v>
      </c>
      <c r="BD14"/>
      <c r="BE14"/>
      <c r="BF14"/>
      <c r="BG14"/>
      <c r="BH14"/>
    </row>
    <row r="15" spans="1:69" ht="21" customHeight="1" x14ac:dyDescent="0.25">
      <c r="A15" s="33">
        <v>6</v>
      </c>
      <c r="B15" s="34"/>
      <c r="C15" s="35">
        <v>3</v>
      </c>
      <c r="D15" s="35">
        <v>0</v>
      </c>
      <c r="E15" s="35">
        <v>1</v>
      </c>
      <c r="F15" s="36">
        <f t="shared" si="12"/>
        <v>0</v>
      </c>
      <c r="G15" s="37">
        <v>0</v>
      </c>
      <c r="H15" s="36">
        <v>0</v>
      </c>
      <c r="I15" s="38">
        <v>0</v>
      </c>
      <c r="J15" s="35">
        <v>0</v>
      </c>
      <c r="K15" s="36">
        <v>0</v>
      </c>
      <c r="L15" s="38">
        <v>3</v>
      </c>
      <c r="M15" s="35">
        <v>1</v>
      </c>
      <c r="N15" s="35">
        <v>1</v>
      </c>
      <c r="O15" s="36">
        <v>16</v>
      </c>
      <c r="P15" s="33">
        <f t="shared" si="14"/>
        <v>0</v>
      </c>
      <c r="Q15" s="39">
        <f t="shared" si="15"/>
        <v>0</v>
      </c>
      <c r="R15" s="40">
        <f t="shared" si="16"/>
        <v>0</v>
      </c>
      <c r="T15" s="15">
        <f t="shared" si="1"/>
        <v>33</v>
      </c>
      <c r="U15" s="15">
        <f t="shared" si="13"/>
        <v>1.5</v>
      </c>
      <c r="V15" s="19"/>
      <c r="W15" s="15">
        <f t="shared" si="3"/>
        <v>1.5</v>
      </c>
      <c r="X15" s="15">
        <f t="shared" si="4"/>
        <v>1.5</v>
      </c>
      <c r="Y15" s="15">
        <f t="shared" si="5"/>
        <v>1.5</v>
      </c>
      <c r="Z15" s="15">
        <f t="shared" si="6"/>
        <v>33</v>
      </c>
      <c r="AA15" s="15">
        <f t="shared" si="7"/>
        <v>44</v>
      </c>
      <c r="AB15" s="15">
        <f t="shared" si="8"/>
        <v>67</v>
      </c>
      <c r="AC15" s="15">
        <f t="shared" si="9"/>
        <v>1.5</v>
      </c>
      <c r="AD15" s="15">
        <f t="shared" si="10"/>
        <v>2.7</v>
      </c>
      <c r="AE15" s="15">
        <f t="shared" si="11"/>
        <v>6.2</v>
      </c>
      <c r="BD15"/>
      <c r="BE15"/>
      <c r="BF15"/>
      <c r="BG15"/>
      <c r="BH15"/>
    </row>
    <row r="16" spans="1:69" ht="21" customHeight="1" x14ac:dyDescent="0.25">
      <c r="A16" s="33">
        <v>7</v>
      </c>
      <c r="B16" s="34"/>
      <c r="C16" s="35">
        <v>3</v>
      </c>
      <c r="D16" s="35">
        <v>0</v>
      </c>
      <c r="E16" s="35">
        <v>1</v>
      </c>
      <c r="F16" s="36">
        <f t="shared" si="12"/>
        <v>0</v>
      </c>
      <c r="G16" s="37">
        <v>0</v>
      </c>
      <c r="H16" s="36">
        <v>0</v>
      </c>
      <c r="I16" s="38">
        <v>0</v>
      </c>
      <c r="J16" s="35">
        <v>0</v>
      </c>
      <c r="K16" s="36">
        <v>0</v>
      </c>
      <c r="L16" s="38">
        <v>3</v>
      </c>
      <c r="M16" s="35">
        <v>1</v>
      </c>
      <c r="N16" s="35">
        <v>1</v>
      </c>
      <c r="O16" s="36">
        <v>16</v>
      </c>
      <c r="P16" s="33">
        <f t="shared" si="14"/>
        <v>0</v>
      </c>
      <c r="Q16" s="39">
        <f t="shared" si="15"/>
        <v>0</v>
      </c>
      <c r="R16" s="40">
        <f t="shared" si="16"/>
        <v>0</v>
      </c>
      <c r="T16" s="15">
        <f t="shared" si="1"/>
        <v>33</v>
      </c>
      <c r="U16" s="15">
        <f t="shared" si="13"/>
        <v>1.5</v>
      </c>
      <c r="V16" s="19"/>
      <c r="W16" s="15">
        <f t="shared" si="3"/>
        <v>1.5</v>
      </c>
      <c r="X16" s="15">
        <f t="shared" si="4"/>
        <v>1.5</v>
      </c>
      <c r="Y16" s="15">
        <f t="shared" si="5"/>
        <v>1.5</v>
      </c>
      <c r="Z16" s="15">
        <f t="shared" si="6"/>
        <v>33</v>
      </c>
      <c r="AA16" s="15">
        <f t="shared" si="7"/>
        <v>44</v>
      </c>
      <c r="AB16" s="15">
        <f t="shared" si="8"/>
        <v>67</v>
      </c>
      <c r="AC16" s="15">
        <f t="shared" si="9"/>
        <v>1.5</v>
      </c>
      <c r="AD16" s="15">
        <f t="shared" si="10"/>
        <v>2.7</v>
      </c>
      <c r="AE16" s="15">
        <f t="shared" si="11"/>
        <v>6.2</v>
      </c>
      <c r="BD16"/>
      <c r="BE16"/>
      <c r="BF16"/>
      <c r="BG16"/>
      <c r="BH16"/>
    </row>
    <row r="17" spans="1:60" ht="21" customHeight="1" x14ac:dyDescent="0.25">
      <c r="A17" s="33">
        <v>8</v>
      </c>
      <c r="B17" s="34"/>
      <c r="C17" s="35">
        <v>3</v>
      </c>
      <c r="D17" s="35">
        <v>0</v>
      </c>
      <c r="E17" s="35">
        <v>1</v>
      </c>
      <c r="F17" s="36">
        <f t="shared" si="12"/>
        <v>0</v>
      </c>
      <c r="G17" s="37">
        <v>0</v>
      </c>
      <c r="H17" s="36">
        <v>0</v>
      </c>
      <c r="I17" s="38">
        <v>0</v>
      </c>
      <c r="J17" s="35">
        <v>0</v>
      </c>
      <c r="K17" s="36">
        <v>0</v>
      </c>
      <c r="L17" s="38">
        <v>3</v>
      </c>
      <c r="M17" s="35">
        <v>1</v>
      </c>
      <c r="N17" s="35">
        <v>1</v>
      </c>
      <c r="O17" s="36">
        <v>16</v>
      </c>
      <c r="P17" s="33">
        <f t="shared" si="14"/>
        <v>0</v>
      </c>
      <c r="Q17" s="39">
        <f t="shared" si="15"/>
        <v>0</v>
      </c>
      <c r="R17" s="40">
        <f t="shared" si="16"/>
        <v>0</v>
      </c>
      <c r="T17" s="15">
        <f t="shared" ref="T17:T29" si="17">IF(M17=1,Z17,IF(M17=2,AA17,IF(M17=3,AB17,"")))</f>
        <v>33</v>
      </c>
      <c r="U17" s="15">
        <f t="shared" si="13"/>
        <v>1.5</v>
      </c>
      <c r="V17" s="19"/>
      <c r="W17" s="15">
        <f t="shared" si="3"/>
        <v>1.5</v>
      </c>
      <c r="X17" s="15">
        <f t="shared" si="4"/>
        <v>1.5</v>
      </c>
      <c r="Y17" s="15">
        <f t="shared" si="5"/>
        <v>1.5</v>
      </c>
      <c r="Z17" s="15">
        <f t="shared" si="6"/>
        <v>33</v>
      </c>
      <c r="AA17" s="15">
        <f t="shared" si="7"/>
        <v>44</v>
      </c>
      <c r="AB17" s="15">
        <f t="shared" si="8"/>
        <v>67</v>
      </c>
      <c r="AC17" s="15">
        <f t="shared" si="9"/>
        <v>1.5</v>
      </c>
      <c r="AD17" s="15">
        <f t="shared" si="10"/>
        <v>2.7</v>
      </c>
      <c r="AE17" s="15">
        <f t="shared" si="11"/>
        <v>6.2</v>
      </c>
      <c r="BD17"/>
      <c r="BE17"/>
      <c r="BF17"/>
      <c r="BG17"/>
      <c r="BH17"/>
    </row>
    <row r="18" spans="1:60" ht="21" customHeight="1" x14ac:dyDescent="0.25">
      <c r="A18" s="33">
        <v>9</v>
      </c>
      <c r="B18" s="34"/>
      <c r="C18" s="35">
        <v>3</v>
      </c>
      <c r="D18" s="35">
        <v>0</v>
      </c>
      <c r="E18" s="35">
        <v>1</v>
      </c>
      <c r="F18" s="36">
        <f t="shared" si="12"/>
        <v>0</v>
      </c>
      <c r="G18" s="37">
        <v>0</v>
      </c>
      <c r="H18" s="36">
        <v>0</v>
      </c>
      <c r="I18" s="38">
        <v>0</v>
      </c>
      <c r="J18" s="35">
        <v>0</v>
      </c>
      <c r="K18" s="36">
        <v>0</v>
      </c>
      <c r="L18" s="38">
        <v>3</v>
      </c>
      <c r="M18" s="35">
        <v>1</v>
      </c>
      <c r="N18" s="35">
        <v>1</v>
      </c>
      <c r="O18" s="36">
        <v>16</v>
      </c>
      <c r="P18" s="33">
        <f t="shared" si="14"/>
        <v>0</v>
      </c>
      <c r="Q18" s="39">
        <f t="shared" si="15"/>
        <v>0</v>
      </c>
      <c r="R18" s="40">
        <f t="shared" si="16"/>
        <v>0</v>
      </c>
      <c r="T18" s="15">
        <f t="shared" si="17"/>
        <v>33</v>
      </c>
      <c r="U18" s="15">
        <f t="shared" si="13"/>
        <v>1.5</v>
      </c>
      <c r="V18" s="19"/>
      <c r="W18" s="15">
        <f t="shared" si="3"/>
        <v>1.5</v>
      </c>
      <c r="X18" s="15">
        <f t="shared" si="4"/>
        <v>1.5</v>
      </c>
      <c r="Y18" s="15">
        <f t="shared" si="5"/>
        <v>1.5</v>
      </c>
      <c r="Z18" s="15">
        <f t="shared" si="6"/>
        <v>33</v>
      </c>
      <c r="AA18" s="15">
        <f t="shared" si="7"/>
        <v>44</v>
      </c>
      <c r="AB18" s="15">
        <f t="shared" si="8"/>
        <v>67</v>
      </c>
      <c r="AC18" s="15">
        <f t="shared" si="9"/>
        <v>1.5</v>
      </c>
      <c r="AD18" s="15">
        <f t="shared" si="10"/>
        <v>2.7</v>
      </c>
      <c r="AE18" s="15">
        <f t="shared" si="11"/>
        <v>6.2</v>
      </c>
      <c r="BD18"/>
      <c r="BE18"/>
      <c r="BF18"/>
      <c r="BG18"/>
      <c r="BH18"/>
    </row>
    <row r="19" spans="1:60" ht="21" customHeight="1" x14ac:dyDescent="0.25">
      <c r="A19" s="33">
        <v>10</v>
      </c>
      <c r="B19" s="34"/>
      <c r="C19" s="35">
        <v>3</v>
      </c>
      <c r="D19" s="35">
        <v>0</v>
      </c>
      <c r="E19" s="35">
        <v>1</v>
      </c>
      <c r="F19" s="36">
        <f t="shared" si="12"/>
        <v>0</v>
      </c>
      <c r="G19" s="37">
        <v>0</v>
      </c>
      <c r="H19" s="36">
        <v>0</v>
      </c>
      <c r="I19" s="38">
        <v>0</v>
      </c>
      <c r="J19" s="35">
        <v>0</v>
      </c>
      <c r="K19" s="36">
        <v>0</v>
      </c>
      <c r="L19" s="38">
        <v>3</v>
      </c>
      <c r="M19" s="35">
        <v>1</v>
      </c>
      <c r="N19" s="35">
        <v>1</v>
      </c>
      <c r="O19" s="36">
        <v>16</v>
      </c>
      <c r="P19" s="33">
        <f t="shared" si="14"/>
        <v>0</v>
      </c>
      <c r="Q19" s="39">
        <f t="shared" si="15"/>
        <v>0</v>
      </c>
      <c r="R19" s="40">
        <f t="shared" si="16"/>
        <v>0</v>
      </c>
      <c r="T19" s="15">
        <f t="shared" si="17"/>
        <v>33</v>
      </c>
      <c r="U19" s="15">
        <f t="shared" si="13"/>
        <v>1.5</v>
      </c>
      <c r="V19" s="19"/>
      <c r="W19" s="15">
        <f t="shared" si="3"/>
        <v>1.5</v>
      </c>
      <c r="X19" s="15">
        <f t="shared" si="4"/>
        <v>1.5</v>
      </c>
      <c r="Y19" s="15">
        <f t="shared" si="5"/>
        <v>1.5</v>
      </c>
      <c r="Z19" s="15">
        <f t="shared" si="6"/>
        <v>33</v>
      </c>
      <c r="AA19" s="15">
        <f t="shared" si="7"/>
        <v>44</v>
      </c>
      <c r="AB19" s="15">
        <f t="shared" si="8"/>
        <v>67</v>
      </c>
      <c r="AC19" s="15">
        <f t="shared" si="9"/>
        <v>1.5</v>
      </c>
      <c r="AD19" s="15">
        <f t="shared" si="10"/>
        <v>2.7</v>
      </c>
      <c r="AE19" s="15">
        <f t="shared" si="11"/>
        <v>6.2</v>
      </c>
      <c r="BD19"/>
      <c r="BE19"/>
      <c r="BF19"/>
      <c r="BG19"/>
      <c r="BH19"/>
    </row>
    <row r="20" spans="1:60" ht="21" customHeight="1" x14ac:dyDescent="0.25">
      <c r="A20" s="33">
        <v>11</v>
      </c>
      <c r="B20" s="34"/>
      <c r="C20" s="35">
        <v>3</v>
      </c>
      <c r="D20" s="35">
        <v>0</v>
      </c>
      <c r="E20" s="35">
        <v>1</v>
      </c>
      <c r="F20" s="36">
        <f t="shared" ref="F20:F28" si="18">ROUNDUP(D20*E20,1)</f>
        <v>0</v>
      </c>
      <c r="G20" s="37">
        <v>0</v>
      </c>
      <c r="H20" s="36">
        <v>0</v>
      </c>
      <c r="I20" s="38">
        <v>0</v>
      </c>
      <c r="J20" s="35">
        <v>0</v>
      </c>
      <c r="K20" s="36">
        <v>0</v>
      </c>
      <c r="L20" s="38">
        <v>3</v>
      </c>
      <c r="M20" s="35">
        <v>1</v>
      </c>
      <c r="N20" s="35">
        <v>1</v>
      </c>
      <c r="O20" s="36">
        <v>16</v>
      </c>
      <c r="P20" s="33">
        <f t="shared" ref="P20:P28" si="19">IF(F20&gt;0,ROUNDUP(((F20*F20)/(T20*T20))*U20*L20*N20,2),)</f>
        <v>0</v>
      </c>
      <c r="Q20" s="39">
        <f t="shared" ref="Q20:Q28" si="20">ROUNDUP(IF(AND(G20&gt;0,I20&gt;0),((F20*F20)/(G20*G20)*H20*C20)+((F20*F20)/(I20*I20)*J20*C20)+K20,IF(AND(G20&gt;0,I20=0),((F20*F20)/(G20*G20)*H20*C20)+K20,IF(AND(G20=0,I20&gt;0),((F20*F20)/(I20*I20)*J20*C20)+K20,0))),2)</f>
        <v>0</v>
      </c>
      <c r="R20" s="40">
        <f t="shared" ref="R20:R28" si="21">P20+Q20</f>
        <v>0</v>
      </c>
      <c r="T20" s="15">
        <f t="shared" ref="T20:T28" si="22">IF(M20=1,Z20,IF(M20=2,AA20,IF(M20=3,AB20,"")))</f>
        <v>33</v>
      </c>
      <c r="U20" s="15">
        <f t="shared" ref="U20:U28" si="23">IF(M20=1,AC20,IF(M20=2,AD20,IF(M20=3,AE20,"")))</f>
        <v>1.5</v>
      </c>
      <c r="V20" s="19"/>
      <c r="W20" s="15">
        <f t="shared" si="3"/>
        <v>1.5</v>
      </c>
      <c r="X20" s="15">
        <f t="shared" si="4"/>
        <v>1.5</v>
      </c>
      <c r="Y20" s="15">
        <f t="shared" si="5"/>
        <v>1.5</v>
      </c>
      <c r="Z20" s="15">
        <f t="shared" si="6"/>
        <v>33</v>
      </c>
      <c r="AA20" s="15">
        <f t="shared" si="7"/>
        <v>44</v>
      </c>
      <c r="AB20" s="15">
        <f t="shared" si="8"/>
        <v>67</v>
      </c>
      <c r="AC20" s="15">
        <f t="shared" si="9"/>
        <v>1.5</v>
      </c>
      <c r="AD20" s="15">
        <f t="shared" si="10"/>
        <v>2.7</v>
      </c>
      <c r="AE20" s="15">
        <f t="shared" si="11"/>
        <v>6.2</v>
      </c>
      <c r="BD20"/>
      <c r="BE20"/>
      <c r="BF20"/>
      <c r="BG20"/>
      <c r="BH20"/>
    </row>
    <row r="21" spans="1:60" ht="21" customHeight="1" x14ac:dyDescent="0.25">
      <c r="A21" s="33">
        <v>12</v>
      </c>
      <c r="B21" s="34"/>
      <c r="C21" s="35">
        <v>3</v>
      </c>
      <c r="D21" s="35">
        <v>0</v>
      </c>
      <c r="E21" s="35">
        <v>1</v>
      </c>
      <c r="F21" s="36">
        <f t="shared" si="18"/>
        <v>0</v>
      </c>
      <c r="G21" s="37">
        <v>0</v>
      </c>
      <c r="H21" s="36">
        <v>0</v>
      </c>
      <c r="I21" s="38">
        <v>0</v>
      </c>
      <c r="J21" s="35">
        <v>0</v>
      </c>
      <c r="K21" s="36">
        <v>0</v>
      </c>
      <c r="L21" s="38">
        <v>3</v>
      </c>
      <c r="M21" s="35">
        <v>1</v>
      </c>
      <c r="N21" s="35">
        <v>1</v>
      </c>
      <c r="O21" s="36">
        <v>16</v>
      </c>
      <c r="P21" s="33">
        <f t="shared" si="19"/>
        <v>0</v>
      </c>
      <c r="Q21" s="39">
        <f t="shared" si="20"/>
        <v>0</v>
      </c>
      <c r="R21" s="40">
        <f t="shared" si="21"/>
        <v>0</v>
      </c>
      <c r="T21" s="15">
        <f t="shared" si="22"/>
        <v>33</v>
      </c>
      <c r="U21" s="15">
        <f t="shared" si="23"/>
        <v>1.5</v>
      </c>
      <c r="V21" s="19"/>
      <c r="W21" s="15">
        <f t="shared" si="3"/>
        <v>1.5</v>
      </c>
      <c r="X21" s="15">
        <f t="shared" si="4"/>
        <v>1.5</v>
      </c>
      <c r="Y21" s="15">
        <f t="shared" si="5"/>
        <v>1.5</v>
      </c>
      <c r="Z21" s="15">
        <f t="shared" si="6"/>
        <v>33</v>
      </c>
      <c r="AA21" s="15">
        <f t="shared" si="7"/>
        <v>44</v>
      </c>
      <c r="AB21" s="15">
        <f t="shared" si="8"/>
        <v>67</v>
      </c>
      <c r="AC21" s="15">
        <f t="shared" si="9"/>
        <v>1.5</v>
      </c>
      <c r="AD21" s="15">
        <f t="shared" si="10"/>
        <v>2.7</v>
      </c>
      <c r="AE21" s="15">
        <f t="shared" si="11"/>
        <v>6.2</v>
      </c>
      <c r="BD21"/>
      <c r="BE21"/>
      <c r="BF21"/>
      <c r="BG21"/>
      <c r="BH21"/>
    </row>
    <row r="22" spans="1:60" ht="21" customHeight="1" x14ac:dyDescent="0.25">
      <c r="A22" s="33">
        <v>13</v>
      </c>
      <c r="B22" s="34"/>
      <c r="C22" s="35">
        <v>3</v>
      </c>
      <c r="D22" s="35">
        <v>0</v>
      </c>
      <c r="E22" s="35">
        <v>1</v>
      </c>
      <c r="F22" s="36">
        <f t="shared" si="18"/>
        <v>0</v>
      </c>
      <c r="G22" s="37">
        <v>0</v>
      </c>
      <c r="H22" s="36">
        <v>0</v>
      </c>
      <c r="I22" s="38">
        <v>0</v>
      </c>
      <c r="J22" s="35">
        <v>0</v>
      </c>
      <c r="K22" s="36">
        <v>0</v>
      </c>
      <c r="L22" s="38">
        <v>3</v>
      </c>
      <c r="M22" s="35">
        <v>1</v>
      </c>
      <c r="N22" s="35">
        <v>1</v>
      </c>
      <c r="O22" s="36">
        <v>16</v>
      </c>
      <c r="P22" s="33">
        <f t="shared" si="19"/>
        <v>0</v>
      </c>
      <c r="Q22" s="39">
        <f t="shared" si="20"/>
        <v>0</v>
      </c>
      <c r="R22" s="40">
        <f t="shared" si="21"/>
        <v>0</v>
      </c>
      <c r="T22" s="15">
        <f t="shared" si="22"/>
        <v>33</v>
      </c>
      <c r="U22" s="15">
        <f t="shared" si="23"/>
        <v>1.5</v>
      </c>
      <c r="V22" s="19"/>
      <c r="W22" s="15">
        <f t="shared" si="3"/>
        <v>1.5</v>
      </c>
      <c r="X22" s="15">
        <f t="shared" si="4"/>
        <v>1.5</v>
      </c>
      <c r="Y22" s="15">
        <f t="shared" si="5"/>
        <v>1.5</v>
      </c>
      <c r="Z22" s="15">
        <f t="shared" si="6"/>
        <v>33</v>
      </c>
      <c r="AA22" s="15">
        <f t="shared" si="7"/>
        <v>44</v>
      </c>
      <c r="AB22" s="15">
        <f t="shared" si="8"/>
        <v>67</v>
      </c>
      <c r="AC22" s="15">
        <f t="shared" si="9"/>
        <v>1.5</v>
      </c>
      <c r="AD22" s="15">
        <f t="shared" si="10"/>
        <v>2.7</v>
      </c>
      <c r="AE22" s="15">
        <f t="shared" si="11"/>
        <v>6.2</v>
      </c>
      <c r="BD22"/>
      <c r="BE22"/>
      <c r="BF22"/>
      <c r="BG22"/>
      <c r="BH22"/>
    </row>
    <row r="23" spans="1:60" ht="21" customHeight="1" x14ac:dyDescent="0.25">
      <c r="A23" s="33">
        <v>14</v>
      </c>
      <c r="B23" s="34"/>
      <c r="C23" s="35">
        <v>3</v>
      </c>
      <c r="D23" s="35">
        <v>0</v>
      </c>
      <c r="E23" s="35">
        <v>1</v>
      </c>
      <c r="F23" s="36">
        <f t="shared" si="18"/>
        <v>0</v>
      </c>
      <c r="G23" s="37">
        <v>0</v>
      </c>
      <c r="H23" s="36">
        <v>0</v>
      </c>
      <c r="I23" s="38">
        <v>0</v>
      </c>
      <c r="J23" s="35">
        <v>0</v>
      </c>
      <c r="K23" s="36">
        <v>0</v>
      </c>
      <c r="L23" s="38">
        <v>3</v>
      </c>
      <c r="M23" s="35">
        <v>1</v>
      </c>
      <c r="N23" s="35">
        <v>1</v>
      </c>
      <c r="O23" s="36">
        <v>16</v>
      </c>
      <c r="P23" s="33">
        <f t="shared" si="19"/>
        <v>0</v>
      </c>
      <c r="Q23" s="39">
        <f t="shared" si="20"/>
        <v>0</v>
      </c>
      <c r="R23" s="40">
        <f t="shared" si="21"/>
        <v>0</v>
      </c>
      <c r="T23" s="15">
        <f t="shared" si="22"/>
        <v>33</v>
      </c>
      <c r="U23" s="15">
        <f t="shared" si="23"/>
        <v>1.5</v>
      </c>
      <c r="V23" s="19"/>
      <c r="W23" s="15">
        <f t="shared" si="3"/>
        <v>1.5</v>
      </c>
      <c r="X23" s="15">
        <f t="shared" si="4"/>
        <v>1.5</v>
      </c>
      <c r="Y23" s="15">
        <f t="shared" si="5"/>
        <v>1.5</v>
      </c>
      <c r="Z23" s="15">
        <f t="shared" si="6"/>
        <v>33</v>
      </c>
      <c r="AA23" s="15">
        <f t="shared" si="7"/>
        <v>44</v>
      </c>
      <c r="AB23" s="15">
        <f t="shared" si="8"/>
        <v>67</v>
      </c>
      <c r="AC23" s="15">
        <f t="shared" si="9"/>
        <v>1.5</v>
      </c>
      <c r="AD23" s="15">
        <f t="shared" si="10"/>
        <v>2.7</v>
      </c>
      <c r="AE23" s="15">
        <f t="shared" si="11"/>
        <v>6.2</v>
      </c>
      <c r="BD23"/>
      <c r="BE23"/>
      <c r="BF23"/>
      <c r="BG23"/>
      <c r="BH23"/>
    </row>
    <row r="24" spans="1:60" ht="21" customHeight="1" x14ac:dyDescent="0.25">
      <c r="A24" s="33">
        <v>15</v>
      </c>
      <c r="B24" s="34"/>
      <c r="C24" s="35">
        <v>3</v>
      </c>
      <c r="D24" s="35">
        <v>0</v>
      </c>
      <c r="E24" s="35">
        <v>1</v>
      </c>
      <c r="F24" s="36">
        <f t="shared" si="18"/>
        <v>0</v>
      </c>
      <c r="G24" s="37">
        <v>0</v>
      </c>
      <c r="H24" s="36">
        <v>0</v>
      </c>
      <c r="I24" s="38">
        <v>0</v>
      </c>
      <c r="J24" s="35">
        <v>0</v>
      </c>
      <c r="K24" s="36">
        <v>0</v>
      </c>
      <c r="L24" s="38">
        <v>3</v>
      </c>
      <c r="M24" s="35">
        <v>1</v>
      </c>
      <c r="N24" s="35">
        <v>1</v>
      </c>
      <c r="O24" s="36">
        <v>10</v>
      </c>
      <c r="P24" s="33">
        <f t="shared" si="19"/>
        <v>0</v>
      </c>
      <c r="Q24" s="39">
        <f t="shared" si="20"/>
        <v>0</v>
      </c>
      <c r="R24" s="40">
        <f t="shared" si="21"/>
        <v>0</v>
      </c>
      <c r="T24" s="15">
        <f t="shared" si="22"/>
        <v>24</v>
      </c>
      <c r="U24" s="15">
        <f t="shared" si="23"/>
        <v>1.3</v>
      </c>
      <c r="V24" s="19"/>
      <c r="W24" s="15">
        <f t="shared" si="3"/>
        <v>1.5</v>
      </c>
      <c r="X24" s="15">
        <f t="shared" si="4"/>
        <v>1.5</v>
      </c>
      <c r="Y24" s="15">
        <f t="shared" si="5"/>
        <v>1.5</v>
      </c>
      <c r="Z24" s="15">
        <f t="shared" si="6"/>
        <v>24</v>
      </c>
      <c r="AA24" s="15">
        <f t="shared" si="7"/>
        <v>32</v>
      </c>
      <c r="AB24" s="15">
        <f t="shared" si="8"/>
        <v>50</v>
      </c>
      <c r="AC24" s="15">
        <f t="shared" si="9"/>
        <v>1.3</v>
      </c>
      <c r="AD24" s="15">
        <f t="shared" si="10"/>
        <v>2.2999999999999998</v>
      </c>
      <c r="AE24" s="15">
        <f t="shared" si="11"/>
        <v>5.4</v>
      </c>
      <c r="BD24"/>
      <c r="BE24"/>
      <c r="BF24"/>
      <c r="BG24"/>
      <c r="BH24"/>
    </row>
    <row r="25" spans="1:60" ht="21" customHeight="1" x14ac:dyDescent="0.25">
      <c r="A25" s="33">
        <v>16</v>
      </c>
      <c r="B25" s="34"/>
      <c r="C25" s="35">
        <v>3</v>
      </c>
      <c r="D25" s="35">
        <v>0</v>
      </c>
      <c r="E25" s="35">
        <v>1</v>
      </c>
      <c r="F25" s="36">
        <f t="shared" si="18"/>
        <v>0</v>
      </c>
      <c r="G25" s="37">
        <v>0</v>
      </c>
      <c r="H25" s="36">
        <v>0</v>
      </c>
      <c r="I25" s="38">
        <v>0</v>
      </c>
      <c r="J25" s="35">
        <v>0</v>
      </c>
      <c r="K25" s="36">
        <v>0</v>
      </c>
      <c r="L25" s="38">
        <v>3</v>
      </c>
      <c r="M25" s="35">
        <v>1</v>
      </c>
      <c r="N25" s="35">
        <v>1</v>
      </c>
      <c r="O25" s="36">
        <v>10</v>
      </c>
      <c r="P25" s="33">
        <f t="shared" si="19"/>
        <v>0</v>
      </c>
      <c r="Q25" s="39">
        <f t="shared" si="20"/>
        <v>0</v>
      </c>
      <c r="R25" s="40">
        <f t="shared" si="21"/>
        <v>0</v>
      </c>
      <c r="T25" s="15">
        <f t="shared" si="22"/>
        <v>24</v>
      </c>
      <c r="U25" s="15">
        <f t="shared" si="23"/>
        <v>1.3</v>
      </c>
      <c r="V25" s="19"/>
      <c r="W25" s="15">
        <f t="shared" si="3"/>
        <v>1.5</v>
      </c>
      <c r="X25" s="15">
        <f t="shared" si="4"/>
        <v>1.5</v>
      </c>
      <c r="Y25" s="15">
        <f t="shared" si="5"/>
        <v>1.5</v>
      </c>
      <c r="Z25" s="15">
        <f t="shared" si="6"/>
        <v>24</v>
      </c>
      <c r="AA25" s="15">
        <f t="shared" si="7"/>
        <v>32</v>
      </c>
      <c r="AB25" s="15">
        <f t="shared" si="8"/>
        <v>50</v>
      </c>
      <c r="AC25" s="15">
        <f t="shared" si="9"/>
        <v>1.3</v>
      </c>
      <c r="AD25" s="15">
        <f t="shared" si="10"/>
        <v>2.2999999999999998</v>
      </c>
      <c r="AE25" s="15">
        <f t="shared" si="11"/>
        <v>5.4</v>
      </c>
      <c r="BD25"/>
      <c r="BE25"/>
      <c r="BF25"/>
      <c r="BG25"/>
      <c r="BH25"/>
    </row>
    <row r="26" spans="1:60" ht="21" customHeight="1" x14ac:dyDescent="0.25">
      <c r="A26" s="33">
        <v>17</v>
      </c>
      <c r="B26" s="34"/>
      <c r="C26" s="35">
        <v>3</v>
      </c>
      <c r="D26" s="35">
        <v>0</v>
      </c>
      <c r="E26" s="35">
        <v>1</v>
      </c>
      <c r="F26" s="36">
        <f t="shared" si="18"/>
        <v>0</v>
      </c>
      <c r="G26" s="37">
        <v>0</v>
      </c>
      <c r="H26" s="36">
        <v>0</v>
      </c>
      <c r="I26" s="38">
        <v>0</v>
      </c>
      <c r="J26" s="35">
        <v>0</v>
      </c>
      <c r="K26" s="36">
        <v>0</v>
      </c>
      <c r="L26" s="38">
        <v>3</v>
      </c>
      <c r="M26" s="35">
        <v>1</v>
      </c>
      <c r="N26" s="35">
        <v>1</v>
      </c>
      <c r="O26" s="36">
        <v>10</v>
      </c>
      <c r="P26" s="33">
        <f t="shared" si="19"/>
        <v>0</v>
      </c>
      <c r="Q26" s="39">
        <f t="shared" si="20"/>
        <v>0</v>
      </c>
      <c r="R26" s="40">
        <f t="shared" si="21"/>
        <v>0</v>
      </c>
      <c r="T26" s="15">
        <f t="shared" si="22"/>
        <v>24</v>
      </c>
      <c r="U26" s="15">
        <f t="shared" si="23"/>
        <v>1.3</v>
      </c>
      <c r="V26" s="19"/>
      <c r="W26" s="15">
        <f t="shared" si="3"/>
        <v>1.5</v>
      </c>
      <c r="X26" s="15">
        <f t="shared" si="4"/>
        <v>1.5</v>
      </c>
      <c r="Y26" s="15">
        <f t="shared" si="5"/>
        <v>1.5</v>
      </c>
      <c r="Z26" s="15">
        <f t="shared" si="6"/>
        <v>24</v>
      </c>
      <c r="AA26" s="15">
        <f t="shared" si="7"/>
        <v>32</v>
      </c>
      <c r="AB26" s="15">
        <f t="shared" si="8"/>
        <v>50</v>
      </c>
      <c r="AC26" s="15">
        <f t="shared" si="9"/>
        <v>1.3</v>
      </c>
      <c r="AD26" s="15">
        <f t="shared" si="10"/>
        <v>2.2999999999999998</v>
      </c>
      <c r="AE26" s="15">
        <f t="shared" si="11"/>
        <v>5.4</v>
      </c>
      <c r="BD26"/>
      <c r="BE26"/>
      <c r="BF26"/>
      <c r="BG26"/>
      <c r="BH26"/>
    </row>
    <row r="27" spans="1:60" ht="21" customHeight="1" x14ac:dyDescent="0.25">
      <c r="A27" s="33">
        <v>18</v>
      </c>
      <c r="B27" s="34"/>
      <c r="C27" s="35">
        <v>3</v>
      </c>
      <c r="D27" s="35">
        <v>0</v>
      </c>
      <c r="E27" s="35">
        <v>1</v>
      </c>
      <c r="F27" s="36">
        <f t="shared" si="18"/>
        <v>0</v>
      </c>
      <c r="G27" s="37">
        <v>0</v>
      </c>
      <c r="H27" s="36">
        <v>0</v>
      </c>
      <c r="I27" s="38">
        <v>0</v>
      </c>
      <c r="J27" s="35">
        <v>0</v>
      </c>
      <c r="K27" s="36">
        <v>0</v>
      </c>
      <c r="L27" s="38">
        <v>3</v>
      </c>
      <c r="M27" s="35">
        <v>1</v>
      </c>
      <c r="N27" s="35">
        <v>1</v>
      </c>
      <c r="O27" s="36">
        <v>10</v>
      </c>
      <c r="P27" s="33">
        <f t="shared" si="19"/>
        <v>0</v>
      </c>
      <c r="Q27" s="39">
        <f t="shared" si="20"/>
        <v>0</v>
      </c>
      <c r="R27" s="40">
        <f t="shared" si="21"/>
        <v>0</v>
      </c>
      <c r="T27" s="15">
        <f t="shared" si="22"/>
        <v>24</v>
      </c>
      <c r="U27" s="15">
        <f t="shared" si="23"/>
        <v>1.3</v>
      </c>
      <c r="V27" s="19"/>
      <c r="W27" s="15">
        <f t="shared" si="3"/>
        <v>1.5</v>
      </c>
      <c r="X27" s="15">
        <f t="shared" si="4"/>
        <v>1.5</v>
      </c>
      <c r="Y27" s="15">
        <f t="shared" si="5"/>
        <v>1.5</v>
      </c>
      <c r="Z27" s="15">
        <f t="shared" si="6"/>
        <v>24</v>
      </c>
      <c r="AA27" s="15">
        <f t="shared" si="7"/>
        <v>32</v>
      </c>
      <c r="AB27" s="15">
        <f t="shared" si="8"/>
        <v>50</v>
      </c>
      <c r="AC27" s="15">
        <f t="shared" si="9"/>
        <v>1.3</v>
      </c>
      <c r="AD27" s="15">
        <f t="shared" si="10"/>
        <v>2.2999999999999998</v>
      </c>
      <c r="AE27" s="15">
        <f t="shared" si="11"/>
        <v>5.4</v>
      </c>
      <c r="BD27"/>
      <c r="BE27"/>
      <c r="BF27"/>
      <c r="BG27"/>
      <c r="BH27"/>
    </row>
    <row r="28" spans="1:60" ht="21" customHeight="1" x14ac:dyDescent="0.25">
      <c r="A28" s="33">
        <v>19</v>
      </c>
      <c r="B28" s="34"/>
      <c r="C28" s="35">
        <v>3</v>
      </c>
      <c r="D28" s="35">
        <v>0</v>
      </c>
      <c r="E28" s="35">
        <v>1</v>
      </c>
      <c r="F28" s="36">
        <f t="shared" si="18"/>
        <v>0</v>
      </c>
      <c r="G28" s="37">
        <v>0</v>
      </c>
      <c r="H28" s="36">
        <v>0</v>
      </c>
      <c r="I28" s="38">
        <v>0</v>
      </c>
      <c r="J28" s="35">
        <v>0</v>
      </c>
      <c r="K28" s="36">
        <v>0</v>
      </c>
      <c r="L28" s="38">
        <v>3</v>
      </c>
      <c r="M28" s="35">
        <v>1</v>
      </c>
      <c r="N28" s="35">
        <v>1</v>
      </c>
      <c r="O28" s="36">
        <v>10</v>
      </c>
      <c r="P28" s="33">
        <f t="shared" si="19"/>
        <v>0</v>
      </c>
      <c r="Q28" s="39">
        <f t="shared" si="20"/>
        <v>0</v>
      </c>
      <c r="R28" s="40">
        <f t="shared" si="21"/>
        <v>0</v>
      </c>
      <c r="T28" s="15">
        <f t="shared" si="22"/>
        <v>24</v>
      </c>
      <c r="U28" s="15">
        <f t="shared" si="23"/>
        <v>1.3</v>
      </c>
      <c r="V28" s="19"/>
      <c r="W28" s="15">
        <f t="shared" si="3"/>
        <v>1.5</v>
      </c>
      <c r="X28" s="15">
        <f t="shared" si="4"/>
        <v>1.5</v>
      </c>
      <c r="Y28" s="15">
        <f t="shared" si="5"/>
        <v>1.5</v>
      </c>
      <c r="Z28" s="15">
        <f t="shared" si="6"/>
        <v>24</v>
      </c>
      <c r="AA28" s="15">
        <f t="shared" si="7"/>
        <v>32</v>
      </c>
      <c r="AB28" s="15">
        <f t="shared" si="8"/>
        <v>50</v>
      </c>
      <c r="AC28" s="15">
        <f t="shared" si="9"/>
        <v>1.3</v>
      </c>
      <c r="AD28" s="15">
        <f t="shared" si="10"/>
        <v>2.2999999999999998</v>
      </c>
      <c r="AE28" s="15">
        <f t="shared" si="11"/>
        <v>5.4</v>
      </c>
      <c r="BD28"/>
      <c r="BE28"/>
      <c r="BF28"/>
      <c r="BG28"/>
      <c r="BH28"/>
    </row>
    <row r="29" spans="1:60" ht="21" customHeight="1" x14ac:dyDescent="0.25">
      <c r="A29" s="33">
        <v>20</v>
      </c>
      <c r="B29" s="34"/>
      <c r="C29" s="35">
        <v>3</v>
      </c>
      <c r="D29" s="35">
        <v>0</v>
      </c>
      <c r="E29" s="35">
        <v>1</v>
      </c>
      <c r="F29" s="36">
        <f t="shared" ref="F29:F46" si="24">ROUNDUP(D29*E29,1)</f>
        <v>0</v>
      </c>
      <c r="G29" s="37">
        <v>0</v>
      </c>
      <c r="H29" s="36">
        <v>0</v>
      </c>
      <c r="I29" s="38">
        <v>0</v>
      </c>
      <c r="J29" s="35">
        <v>0</v>
      </c>
      <c r="K29" s="36">
        <v>0</v>
      </c>
      <c r="L29" s="38">
        <v>3</v>
      </c>
      <c r="M29" s="35">
        <v>1</v>
      </c>
      <c r="N29" s="35">
        <v>1</v>
      </c>
      <c r="O29" s="36">
        <v>10</v>
      </c>
      <c r="P29" s="33">
        <f t="shared" si="14"/>
        <v>0</v>
      </c>
      <c r="Q29" s="39">
        <f>ROUNDUP(IF(AND(G29&gt;0,I29&gt;0),((F29*F29)/(G29*G29)*H29*C29)+((F29*F29)/(I29*I29)*J29*C29)+K29,IF(AND(G29&gt;0,I29=0),((F29*F29)/(G29*G29)*H29*C29)+K29,IF(AND(G29=0,I29&gt;0),((F29*F29)/(I29*I29)*J29*C29)+K29,0))),2)</f>
        <v>0</v>
      </c>
      <c r="R29" s="40">
        <f t="shared" ref="R29:R46" si="25">P29+Q29</f>
        <v>0</v>
      </c>
      <c r="T29" s="15">
        <f t="shared" si="17"/>
        <v>24</v>
      </c>
      <c r="U29" s="15">
        <f t="shared" si="13"/>
        <v>1.3</v>
      </c>
      <c r="V29" s="19"/>
      <c r="W29" s="15">
        <f t="shared" si="3"/>
        <v>1.5</v>
      </c>
      <c r="X29" s="15">
        <f t="shared" si="4"/>
        <v>1.5</v>
      </c>
      <c r="Y29" s="15">
        <f t="shared" si="5"/>
        <v>1.5</v>
      </c>
      <c r="Z29" s="15">
        <f t="shared" si="6"/>
        <v>24</v>
      </c>
      <c r="AA29" s="15">
        <f t="shared" si="7"/>
        <v>32</v>
      </c>
      <c r="AB29" s="15">
        <f t="shared" si="8"/>
        <v>50</v>
      </c>
      <c r="AC29" s="15">
        <f t="shared" si="9"/>
        <v>1.3</v>
      </c>
      <c r="AD29" s="15">
        <f t="shared" si="10"/>
        <v>2.2999999999999998</v>
      </c>
      <c r="AE29" s="15">
        <f t="shared" si="11"/>
        <v>5.4</v>
      </c>
      <c r="BD29"/>
      <c r="BE29"/>
      <c r="BF29"/>
      <c r="BG29"/>
      <c r="BH29"/>
    </row>
    <row r="30" spans="1:60" ht="21" customHeight="1" x14ac:dyDescent="0.25">
      <c r="A30" s="33">
        <v>21</v>
      </c>
      <c r="B30" s="34"/>
      <c r="C30" s="35">
        <v>3</v>
      </c>
      <c r="D30" s="35">
        <v>0</v>
      </c>
      <c r="E30" s="35">
        <v>1</v>
      </c>
      <c r="F30" s="36">
        <f t="shared" si="24"/>
        <v>0</v>
      </c>
      <c r="G30" s="37">
        <v>0</v>
      </c>
      <c r="H30" s="36">
        <v>0</v>
      </c>
      <c r="I30" s="38">
        <v>0</v>
      </c>
      <c r="J30" s="35">
        <v>0</v>
      </c>
      <c r="K30" s="36">
        <v>0</v>
      </c>
      <c r="L30" s="38">
        <v>3</v>
      </c>
      <c r="M30" s="35">
        <v>1</v>
      </c>
      <c r="N30" s="35">
        <v>1</v>
      </c>
      <c r="O30" s="36">
        <v>10</v>
      </c>
      <c r="P30" s="33">
        <f>IF(F30&gt;0,ROUNDUP(((F30*F30)/(T30*T30))*U30*L30*N30,2),)</f>
        <v>0</v>
      </c>
      <c r="Q30" s="39">
        <f t="shared" ref="Q30:Q46" si="26">ROUNDUP(IF(AND(G30&gt;0,I30&gt;0),((F30*F30)/(G30*G30)*H30*C30)+((F30*F30)/(I30*I30)*J30*C30)+K30,IF(AND(G30&gt;0,I30=0),((F30*F30)/(G30*G30)*H30*C30)+K30,IF(AND(G30=0,I30&gt;0),((F30*F30)/(I30*I30)*J30*C30)+K30,0))),2)</f>
        <v>0</v>
      </c>
      <c r="R30" s="40">
        <f t="shared" si="25"/>
        <v>0</v>
      </c>
      <c r="T30" s="15">
        <f>IF(M30=1,Z30,IF(M30=2,AA30,IF(M30=3,AB30,"")))</f>
        <v>24</v>
      </c>
      <c r="U30" s="15">
        <f>IF(M30=1,AC30,IF(M30=2,AD30,IF(M30=3,AE30,"")))</f>
        <v>1.3</v>
      </c>
      <c r="V30" s="19"/>
      <c r="W30" s="15">
        <f t="shared" si="3"/>
        <v>1.5</v>
      </c>
      <c r="X30" s="15">
        <f t="shared" si="4"/>
        <v>1.5</v>
      </c>
      <c r="Y30" s="15">
        <f t="shared" si="5"/>
        <v>1.5</v>
      </c>
      <c r="Z30" s="15">
        <f t="shared" si="6"/>
        <v>24</v>
      </c>
      <c r="AA30" s="15">
        <f t="shared" si="7"/>
        <v>32</v>
      </c>
      <c r="AB30" s="15">
        <f t="shared" si="8"/>
        <v>50</v>
      </c>
      <c r="AC30" s="15">
        <f t="shared" si="9"/>
        <v>1.3</v>
      </c>
      <c r="AD30" s="15">
        <f t="shared" si="10"/>
        <v>2.2999999999999998</v>
      </c>
      <c r="AE30" s="15">
        <f t="shared" si="11"/>
        <v>5.4</v>
      </c>
      <c r="BD30"/>
      <c r="BE30"/>
      <c r="BF30"/>
      <c r="BG30"/>
      <c r="BH30"/>
    </row>
    <row r="31" spans="1:60" ht="21" customHeight="1" x14ac:dyDescent="0.25">
      <c r="A31" s="33">
        <v>22</v>
      </c>
      <c r="B31" s="34"/>
      <c r="C31" s="35">
        <v>3</v>
      </c>
      <c r="D31" s="35">
        <v>0</v>
      </c>
      <c r="E31" s="35">
        <v>1</v>
      </c>
      <c r="F31" s="36">
        <f t="shared" si="24"/>
        <v>0</v>
      </c>
      <c r="G31" s="37">
        <v>0</v>
      </c>
      <c r="H31" s="36">
        <v>0</v>
      </c>
      <c r="I31" s="38">
        <v>0</v>
      </c>
      <c r="J31" s="35">
        <v>0</v>
      </c>
      <c r="K31" s="36">
        <v>0</v>
      </c>
      <c r="L31" s="38">
        <v>3</v>
      </c>
      <c r="M31" s="35">
        <v>1</v>
      </c>
      <c r="N31" s="35">
        <v>1</v>
      </c>
      <c r="O31" s="36">
        <v>10</v>
      </c>
      <c r="P31" s="33">
        <f t="shared" ref="P31:P46" si="27">IF(F31&gt;0,ROUNDUP(((F31*F31)/(T31*T31))*U31*L31*N31,2),)</f>
        <v>0</v>
      </c>
      <c r="Q31" s="39">
        <f t="shared" si="26"/>
        <v>0</v>
      </c>
      <c r="R31" s="40">
        <f t="shared" si="25"/>
        <v>0</v>
      </c>
      <c r="T31" s="15">
        <f t="shared" ref="T31:T46" si="28">IF(M31=1,Z31,IF(M31=2,AA31,IF(M31=3,AB31,"")))</f>
        <v>24</v>
      </c>
      <c r="U31" s="15">
        <f t="shared" ref="U31:U46" si="29">IF(M31=1,AC31,IF(M31=2,AD31,IF(M31=3,AE31,"")))</f>
        <v>1.3</v>
      </c>
      <c r="V31" s="19"/>
      <c r="W31" s="15">
        <f t="shared" si="3"/>
        <v>1.5</v>
      </c>
      <c r="X31" s="15">
        <f t="shared" si="4"/>
        <v>1.5</v>
      </c>
      <c r="Y31" s="15">
        <f t="shared" si="5"/>
        <v>1.5</v>
      </c>
      <c r="Z31" s="15">
        <f t="shared" si="6"/>
        <v>24</v>
      </c>
      <c r="AA31" s="15">
        <f t="shared" si="7"/>
        <v>32</v>
      </c>
      <c r="AB31" s="15">
        <f t="shared" si="8"/>
        <v>50</v>
      </c>
      <c r="AC31" s="15">
        <f t="shared" si="9"/>
        <v>1.3</v>
      </c>
      <c r="AD31" s="15">
        <f t="shared" si="10"/>
        <v>2.2999999999999998</v>
      </c>
      <c r="AE31" s="15">
        <f t="shared" si="11"/>
        <v>5.4</v>
      </c>
      <c r="BD31"/>
      <c r="BE31"/>
      <c r="BF31"/>
      <c r="BG31"/>
      <c r="BH31"/>
    </row>
    <row r="32" spans="1:60" ht="21" customHeight="1" x14ac:dyDescent="0.25">
      <c r="A32" s="33">
        <v>23</v>
      </c>
      <c r="B32" s="34"/>
      <c r="C32" s="35">
        <v>3</v>
      </c>
      <c r="D32" s="35">
        <v>0</v>
      </c>
      <c r="E32" s="35">
        <v>1</v>
      </c>
      <c r="F32" s="36">
        <f t="shared" si="24"/>
        <v>0</v>
      </c>
      <c r="G32" s="37">
        <v>0</v>
      </c>
      <c r="H32" s="36">
        <v>0</v>
      </c>
      <c r="I32" s="38">
        <v>0</v>
      </c>
      <c r="J32" s="35">
        <v>0</v>
      </c>
      <c r="K32" s="36">
        <v>0</v>
      </c>
      <c r="L32" s="38">
        <v>3</v>
      </c>
      <c r="M32" s="35">
        <v>1</v>
      </c>
      <c r="N32" s="35">
        <v>1</v>
      </c>
      <c r="O32" s="36">
        <v>10</v>
      </c>
      <c r="P32" s="33">
        <f t="shared" si="27"/>
        <v>0</v>
      </c>
      <c r="Q32" s="39">
        <f t="shared" si="26"/>
        <v>0</v>
      </c>
      <c r="R32" s="40">
        <f t="shared" si="25"/>
        <v>0</v>
      </c>
      <c r="T32" s="15">
        <f t="shared" si="28"/>
        <v>24</v>
      </c>
      <c r="U32" s="15">
        <f t="shared" si="29"/>
        <v>1.3</v>
      </c>
      <c r="V32" s="19"/>
      <c r="W32" s="15">
        <f t="shared" si="3"/>
        <v>1.5</v>
      </c>
      <c r="X32" s="15">
        <f t="shared" si="4"/>
        <v>1.5</v>
      </c>
      <c r="Y32" s="15">
        <f t="shared" si="5"/>
        <v>1.5</v>
      </c>
      <c r="Z32" s="15">
        <f t="shared" si="6"/>
        <v>24</v>
      </c>
      <c r="AA32" s="15">
        <f t="shared" si="7"/>
        <v>32</v>
      </c>
      <c r="AB32" s="15">
        <f t="shared" si="8"/>
        <v>50</v>
      </c>
      <c r="AC32" s="15">
        <f t="shared" si="9"/>
        <v>1.3</v>
      </c>
      <c r="AD32" s="15">
        <f t="shared" si="10"/>
        <v>2.2999999999999998</v>
      </c>
      <c r="AE32" s="15">
        <f t="shared" si="11"/>
        <v>5.4</v>
      </c>
      <c r="BD32"/>
      <c r="BE32"/>
      <c r="BF32"/>
      <c r="BG32"/>
      <c r="BH32"/>
    </row>
    <row r="33" spans="1:60" ht="21" customHeight="1" x14ac:dyDescent="0.25">
      <c r="A33" s="33">
        <v>24</v>
      </c>
      <c r="B33" s="34"/>
      <c r="C33" s="35">
        <v>3</v>
      </c>
      <c r="D33" s="35">
        <v>0</v>
      </c>
      <c r="E33" s="35">
        <v>1</v>
      </c>
      <c r="F33" s="36">
        <f t="shared" si="24"/>
        <v>0</v>
      </c>
      <c r="G33" s="37">
        <v>0</v>
      </c>
      <c r="H33" s="36">
        <v>0</v>
      </c>
      <c r="I33" s="38">
        <v>0</v>
      </c>
      <c r="J33" s="35">
        <v>0</v>
      </c>
      <c r="K33" s="36">
        <v>0</v>
      </c>
      <c r="L33" s="38">
        <v>3</v>
      </c>
      <c r="M33" s="35">
        <v>1</v>
      </c>
      <c r="N33" s="35">
        <v>1</v>
      </c>
      <c r="O33" s="36">
        <v>10</v>
      </c>
      <c r="P33" s="33">
        <f t="shared" si="27"/>
        <v>0</v>
      </c>
      <c r="Q33" s="39">
        <f t="shared" si="26"/>
        <v>0</v>
      </c>
      <c r="R33" s="40">
        <f t="shared" si="25"/>
        <v>0</v>
      </c>
      <c r="T33" s="15">
        <f t="shared" si="28"/>
        <v>24</v>
      </c>
      <c r="U33" s="15">
        <f t="shared" si="29"/>
        <v>1.3</v>
      </c>
      <c r="V33" s="19"/>
      <c r="W33" s="15">
        <f t="shared" si="3"/>
        <v>1.5</v>
      </c>
      <c r="X33" s="15">
        <f t="shared" si="4"/>
        <v>1.5</v>
      </c>
      <c r="Y33" s="15">
        <f t="shared" si="5"/>
        <v>1.5</v>
      </c>
      <c r="Z33" s="15">
        <f t="shared" si="6"/>
        <v>24</v>
      </c>
      <c r="AA33" s="15">
        <f t="shared" si="7"/>
        <v>32</v>
      </c>
      <c r="AB33" s="15">
        <f t="shared" si="8"/>
        <v>50</v>
      </c>
      <c r="AC33" s="15">
        <f t="shared" si="9"/>
        <v>1.3</v>
      </c>
      <c r="AD33" s="15">
        <f t="shared" si="10"/>
        <v>2.2999999999999998</v>
      </c>
      <c r="AE33" s="15">
        <f t="shared" si="11"/>
        <v>5.4</v>
      </c>
      <c r="BD33"/>
      <c r="BE33"/>
      <c r="BF33"/>
      <c r="BG33"/>
      <c r="BH33"/>
    </row>
    <row r="34" spans="1:60" ht="21" customHeight="1" x14ac:dyDescent="0.25">
      <c r="A34" s="33">
        <v>25</v>
      </c>
      <c r="B34" s="34"/>
      <c r="C34" s="35">
        <v>3</v>
      </c>
      <c r="D34" s="35">
        <v>0</v>
      </c>
      <c r="E34" s="35">
        <v>1</v>
      </c>
      <c r="F34" s="36">
        <f t="shared" si="24"/>
        <v>0</v>
      </c>
      <c r="G34" s="37">
        <v>0</v>
      </c>
      <c r="H34" s="36">
        <v>0</v>
      </c>
      <c r="I34" s="38">
        <v>0</v>
      </c>
      <c r="J34" s="35">
        <v>0</v>
      </c>
      <c r="K34" s="36">
        <v>0</v>
      </c>
      <c r="L34" s="38">
        <v>3</v>
      </c>
      <c r="M34" s="35">
        <v>1</v>
      </c>
      <c r="N34" s="35">
        <v>1</v>
      </c>
      <c r="O34" s="36">
        <v>6</v>
      </c>
      <c r="P34" s="33">
        <f t="shared" si="27"/>
        <v>0</v>
      </c>
      <c r="Q34" s="39">
        <f t="shared" si="26"/>
        <v>0</v>
      </c>
      <c r="R34" s="40">
        <f t="shared" si="25"/>
        <v>0</v>
      </c>
      <c r="T34" s="15">
        <f t="shared" si="28"/>
        <v>18</v>
      </c>
      <c r="U34" s="15">
        <f t="shared" si="29"/>
        <v>1.1000000000000001</v>
      </c>
      <c r="V34" s="19"/>
      <c r="W34" s="15">
        <f t="shared" si="3"/>
        <v>1.5</v>
      </c>
      <c r="X34" s="15">
        <f t="shared" si="4"/>
        <v>1.5</v>
      </c>
      <c r="Y34" s="15">
        <f t="shared" si="5"/>
        <v>1.5</v>
      </c>
      <c r="Z34" s="15">
        <f t="shared" si="6"/>
        <v>18</v>
      </c>
      <c r="AA34" s="15">
        <f t="shared" si="7"/>
        <v>23</v>
      </c>
      <c r="AB34" s="15">
        <f t="shared" si="8"/>
        <v>36</v>
      </c>
      <c r="AC34" s="15">
        <f t="shared" si="9"/>
        <v>1.1000000000000001</v>
      </c>
      <c r="AD34" s="15">
        <f t="shared" si="10"/>
        <v>2</v>
      </c>
      <c r="AE34" s="15">
        <f t="shared" si="11"/>
        <v>4.7</v>
      </c>
      <c r="BD34"/>
      <c r="BE34"/>
      <c r="BF34"/>
      <c r="BG34"/>
      <c r="BH34"/>
    </row>
    <row r="35" spans="1:60" ht="21" customHeight="1" x14ac:dyDescent="0.25">
      <c r="A35" s="33">
        <v>26</v>
      </c>
      <c r="B35" s="34"/>
      <c r="C35" s="35">
        <v>3</v>
      </c>
      <c r="D35" s="35">
        <v>0</v>
      </c>
      <c r="E35" s="35">
        <v>1</v>
      </c>
      <c r="F35" s="36">
        <f t="shared" si="24"/>
        <v>0</v>
      </c>
      <c r="G35" s="37">
        <v>0</v>
      </c>
      <c r="H35" s="36">
        <v>0</v>
      </c>
      <c r="I35" s="38">
        <v>0</v>
      </c>
      <c r="J35" s="35">
        <v>0</v>
      </c>
      <c r="K35" s="36">
        <v>0</v>
      </c>
      <c r="L35" s="38">
        <v>3</v>
      </c>
      <c r="M35" s="35">
        <v>1</v>
      </c>
      <c r="N35" s="35">
        <v>1</v>
      </c>
      <c r="O35" s="36">
        <v>6</v>
      </c>
      <c r="P35" s="33">
        <f t="shared" si="27"/>
        <v>0</v>
      </c>
      <c r="Q35" s="39">
        <f t="shared" si="26"/>
        <v>0</v>
      </c>
      <c r="R35" s="40">
        <f t="shared" si="25"/>
        <v>0</v>
      </c>
      <c r="T35" s="15">
        <f t="shared" si="28"/>
        <v>18</v>
      </c>
      <c r="U35" s="15">
        <f t="shared" si="29"/>
        <v>1.1000000000000001</v>
      </c>
      <c r="V35" s="19"/>
      <c r="W35" s="15">
        <f t="shared" si="3"/>
        <v>1.5</v>
      </c>
      <c r="X35" s="15">
        <f t="shared" si="4"/>
        <v>1.5</v>
      </c>
      <c r="Y35" s="15">
        <f t="shared" si="5"/>
        <v>1.5</v>
      </c>
      <c r="Z35" s="15">
        <f t="shared" si="6"/>
        <v>18</v>
      </c>
      <c r="AA35" s="15">
        <f t="shared" si="7"/>
        <v>23</v>
      </c>
      <c r="AB35" s="15">
        <f t="shared" si="8"/>
        <v>36</v>
      </c>
      <c r="AC35" s="15">
        <f t="shared" si="9"/>
        <v>1.1000000000000001</v>
      </c>
      <c r="AD35" s="15">
        <f t="shared" si="10"/>
        <v>2</v>
      </c>
      <c r="AE35" s="15">
        <f t="shared" si="11"/>
        <v>4.7</v>
      </c>
      <c r="BD35"/>
      <c r="BE35"/>
      <c r="BF35"/>
      <c r="BG35"/>
      <c r="BH35"/>
    </row>
    <row r="36" spans="1:60" ht="21" customHeight="1" x14ac:dyDescent="0.25">
      <c r="A36" s="33">
        <v>27</v>
      </c>
      <c r="B36" s="34"/>
      <c r="C36" s="35">
        <v>3</v>
      </c>
      <c r="D36" s="35">
        <v>0</v>
      </c>
      <c r="E36" s="35">
        <v>1</v>
      </c>
      <c r="F36" s="36">
        <f t="shared" si="24"/>
        <v>0</v>
      </c>
      <c r="G36" s="37">
        <v>0</v>
      </c>
      <c r="H36" s="36">
        <v>0</v>
      </c>
      <c r="I36" s="38">
        <v>0</v>
      </c>
      <c r="J36" s="35">
        <v>0</v>
      </c>
      <c r="K36" s="36">
        <v>0</v>
      </c>
      <c r="L36" s="38">
        <v>3</v>
      </c>
      <c r="M36" s="35">
        <v>1</v>
      </c>
      <c r="N36" s="35">
        <v>1</v>
      </c>
      <c r="O36" s="36">
        <v>6</v>
      </c>
      <c r="P36" s="33">
        <f t="shared" si="27"/>
        <v>0</v>
      </c>
      <c r="Q36" s="39">
        <f t="shared" si="26"/>
        <v>0</v>
      </c>
      <c r="R36" s="40">
        <f t="shared" si="25"/>
        <v>0</v>
      </c>
      <c r="T36" s="15">
        <f t="shared" si="28"/>
        <v>18</v>
      </c>
      <c r="U36" s="15">
        <f t="shared" si="29"/>
        <v>1.1000000000000001</v>
      </c>
      <c r="V36" s="19"/>
      <c r="W36" s="15">
        <f t="shared" si="3"/>
        <v>1.5</v>
      </c>
      <c r="X36" s="15">
        <f t="shared" si="4"/>
        <v>1.5</v>
      </c>
      <c r="Y36" s="15">
        <f t="shared" si="5"/>
        <v>1.5</v>
      </c>
      <c r="Z36" s="15">
        <f t="shared" si="6"/>
        <v>18</v>
      </c>
      <c r="AA36" s="15">
        <f t="shared" si="7"/>
        <v>23</v>
      </c>
      <c r="AB36" s="15">
        <f t="shared" si="8"/>
        <v>36</v>
      </c>
      <c r="AC36" s="15">
        <f t="shared" si="9"/>
        <v>1.1000000000000001</v>
      </c>
      <c r="AD36" s="15">
        <f t="shared" si="10"/>
        <v>2</v>
      </c>
      <c r="AE36" s="15">
        <f t="shared" si="11"/>
        <v>4.7</v>
      </c>
      <c r="BD36"/>
      <c r="BE36"/>
      <c r="BF36"/>
      <c r="BG36"/>
      <c r="BH36"/>
    </row>
    <row r="37" spans="1:60" ht="21" customHeight="1" x14ac:dyDescent="0.25">
      <c r="A37" s="33">
        <v>28</v>
      </c>
      <c r="B37" s="34"/>
      <c r="C37" s="35">
        <v>3</v>
      </c>
      <c r="D37" s="35">
        <v>0</v>
      </c>
      <c r="E37" s="35">
        <v>1</v>
      </c>
      <c r="F37" s="36">
        <f t="shared" si="24"/>
        <v>0</v>
      </c>
      <c r="G37" s="37">
        <v>0</v>
      </c>
      <c r="H37" s="36">
        <v>0</v>
      </c>
      <c r="I37" s="38">
        <v>0</v>
      </c>
      <c r="J37" s="35">
        <v>0</v>
      </c>
      <c r="K37" s="36">
        <v>0</v>
      </c>
      <c r="L37" s="38">
        <v>3</v>
      </c>
      <c r="M37" s="35">
        <v>1</v>
      </c>
      <c r="N37" s="35">
        <v>1</v>
      </c>
      <c r="O37" s="36">
        <v>6</v>
      </c>
      <c r="P37" s="33">
        <f t="shared" si="27"/>
        <v>0</v>
      </c>
      <c r="Q37" s="39">
        <f t="shared" si="26"/>
        <v>0</v>
      </c>
      <c r="R37" s="40">
        <f t="shared" si="25"/>
        <v>0</v>
      </c>
      <c r="T37" s="15">
        <f t="shared" si="28"/>
        <v>18</v>
      </c>
      <c r="U37" s="15">
        <f t="shared" si="29"/>
        <v>1.1000000000000001</v>
      </c>
      <c r="V37" s="19"/>
      <c r="W37" s="15">
        <f t="shared" si="3"/>
        <v>1.5</v>
      </c>
      <c r="X37" s="15">
        <f t="shared" si="4"/>
        <v>1.5</v>
      </c>
      <c r="Y37" s="15">
        <f t="shared" si="5"/>
        <v>1.5</v>
      </c>
      <c r="Z37" s="15">
        <f t="shared" si="6"/>
        <v>18</v>
      </c>
      <c r="AA37" s="15">
        <f t="shared" si="7"/>
        <v>23</v>
      </c>
      <c r="AB37" s="15">
        <f t="shared" si="8"/>
        <v>36</v>
      </c>
      <c r="AC37" s="15">
        <f t="shared" si="9"/>
        <v>1.1000000000000001</v>
      </c>
      <c r="AD37" s="15">
        <f t="shared" si="10"/>
        <v>2</v>
      </c>
      <c r="AE37" s="15">
        <f t="shared" si="11"/>
        <v>4.7</v>
      </c>
      <c r="BD37"/>
      <c r="BE37"/>
      <c r="BF37"/>
      <c r="BG37"/>
      <c r="BH37"/>
    </row>
    <row r="38" spans="1:60" ht="21" customHeight="1" x14ac:dyDescent="0.25">
      <c r="A38" s="33">
        <v>29</v>
      </c>
      <c r="B38" s="34"/>
      <c r="C38" s="35">
        <v>3</v>
      </c>
      <c r="D38" s="35">
        <v>0</v>
      </c>
      <c r="E38" s="35">
        <v>1</v>
      </c>
      <c r="F38" s="36">
        <f t="shared" si="24"/>
        <v>0</v>
      </c>
      <c r="G38" s="37">
        <v>0</v>
      </c>
      <c r="H38" s="36">
        <v>0</v>
      </c>
      <c r="I38" s="38">
        <v>0</v>
      </c>
      <c r="J38" s="35">
        <v>0</v>
      </c>
      <c r="K38" s="36">
        <v>0</v>
      </c>
      <c r="L38" s="38">
        <v>3</v>
      </c>
      <c r="M38" s="35">
        <v>1</v>
      </c>
      <c r="N38" s="35">
        <v>1</v>
      </c>
      <c r="O38" s="36">
        <v>6</v>
      </c>
      <c r="P38" s="33">
        <f t="shared" si="27"/>
        <v>0</v>
      </c>
      <c r="Q38" s="39">
        <f t="shared" si="26"/>
        <v>0</v>
      </c>
      <c r="R38" s="40">
        <f t="shared" si="25"/>
        <v>0</v>
      </c>
      <c r="T38" s="15">
        <f t="shared" si="28"/>
        <v>18</v>
      </c>
      <c r="U38" s="15">
        <f t="shared" si="29"/>
        <v>1.1000000000000001</v>
      </c>
      <c r="V38" s="19"/>
      <c r="W38" s="15">
        <f t="shared" si="3"/>
        <v>1.5</v>
      </c>
      <c r="X38" s="15">
        <f t="shared" si="4"/>
        <v>1.5</v>
      </c>
      <c r="Y38" s="15">
        <f t="shared" si="5"/>
        <v>1.5</v>
      </c>
      <c r="Z38" s="15">
        <f t="shared" si="6"/>
        <v>18</v>
      </c>
      <c r="AA38" s="15">
        <f t="shared" si="7"/>
        <v>23</v>
      </c>
      <c r="AB38" s="15">
        <f t="shared" si="8"/>
        <v>36</v>
      </c>
      <c r="AC38" s="15">
        <f t="shared" si="9"/>
        <v>1.1000000000000001</v>
      </c>
      <c r="AD38" s="15">
        <f t="shared" si="10"/>
        <v>2</v>
      </c>
      <c r="AE38" s="15">
        <f t="shared" si="11"/>
        <v>4.7</v>
      </c>
      <c r="BD38"/>
      <c r="BE38"/>
      <c r="BF38"/>
      <c r="BG38"/>
      <c r="BH38"/>
    </row>
    <row r="39" spans="1:60" ht="21" customHeight="1" x14ac:dyDescent="0.25">
      <c r="A39" s="33">
        <v>30</v>
      </c>
      <c r="B39" s="34"/>
      <c r="C39" s="35">
        <v>3</v>
      </c>
      <c r="D39" s="35">
        <v>0</v>
      </c>
      <c r="E39" s="35">
        <v>1</v>
      </c>
      <c r="F39" s="36">
        <f t="shared" si="24"/>
        <v>0</v>
      </c>
      <c r="G39" s="37">
        <v>0</v>
      </c>
      <c r="H39" s="36">
        <v>0</v>
      </c>
      <c r="I39" s="38">
        <v>0</v>
      </c>
      <c r="J39" s="35">
        <v>0</v>
      </c>
      <c r="K39" s="36">
        <v>0</v>
      </c>
      <c r="L39" s="38">
        <v>3</v>
      </c>
      <c r="M39" s="35">
        <v>1</v>
      </c>
      <c r="N39" s="35">
        <v>1</v>
      </c>
      <c r="O39" s="36">
        <v>6</v>
      </c>
      <c r="P39" s="33">
        <f t="shared" si="27"/>
        <v>0</v>
      </c>
      <c r="Q39" s="39">
        <f t="shared" si="26"/>
        <v>0</v>
      </c>
      <c r="R39" s="40">
        <f t="shared" si="25"/>
        <v>0</v>
      </c>
      <c r="T39" s="15">
        <f t="shared" si="28"/>
        <v>18</v>
      </c>
      <c r="U39" s="15">
        <f t="shared" si="29"/>
        <v>1.1000000000000001</v>
      </c>
      <c r="V39" s="19"/>
      <c r="W39" s="15">
        <f t="shared" si="3"/>
        <v>1.5</v>
      </c>
      <c r="X39" s="15">
        <f t="shared" si="4"/>
        <v>1.5</v>
      </c>
      <c r="Y39" s="15">
        <f t="shared" si="5"/>
        <v>1.5</v>
      </c>
      <c r="Z39" s="15">
        <f t="shared" si="6"/>
        <v>18</v>
      </c>
      <c r="AA39" s="15">
        <f t="shared" si="7"/>
        <v>23</v>
      </c>
      <c r="AB39" s="15">
        <f t="shared" si="8"/>
        <v>36</v>
      </c>
      <c r="AC39" s="15">
        <f t="shared" si="9"/>
        <v>1.1000000000000001</v>
      </c>
      <c r="AD39" s="15">
        <f t="shared" si="10"/>
        <v>2</v>
      </c>
      <c r="AE39" s="15">
        <f t="shared" si="11"/>
        <v>4.7</v>
      </c>
      <c r="BD39"/>
      <c r="BE39"/>
      <c r="BF39"/>
      <c r="BG39"/>
      <c r="BH39"/>
    </row>
    <row r="40" spans="1:60" ht="21" customHeight="1" x14ac:dyDescent="0.25">
      <c r="A40" s="33">
        <v>31</v>
      </c>
      <c r="B40" s="34"/>
      <c r="C40" s="35">
        <v>3</v>
      </c>
      <c r="D40" s="35">
        <v>0</v>
      </c>
      <c r="E40" s="35">
        <v>1</v>
      </c>
      <c r="F40" s="36">
        <f t="shared" si="24"/>
        <v>0</v>
      </c>
      <c r="G40" s="37">
        <v>0</v>
      </c>
      <c r="H40" s="36">
        <v>0</v>
      </c>
      <c r="I40" s="38">
        <v>0</v>
      </c>
      <c r="J40" s="35">
        <v>0</v>
      </c>
      <c r="K40" s="36">
        <v>0</v>
      </c>
      <c r="L40" s="38">
        <v>3</v>
      </c>
      <c r="M40" s="35">
        <v>1</v>
      </c>
      <c r="N40" s="35">
        <v>1</v>
      </c>
      <c r="O40" s="36">
        <v>6</v>
      </c>
      <c r="P40" s="33">
        <f t="shared" si="27"/>
        <v>0</v>
      </c>
      <c r="Q40" s="39">
        <f t="shared" si="26"/>
        <v>0</v>
      </c>
      <c r="R40" s="40">
        <f t="shared" si="25"/>
        <v>0</v>
      </c>
      <c r="T40" s="15">
        <f t="shared" si="28"/>
        <v>18</v>
      </c>
      <c r="U40" s="15">
        <f t="shared" si="29"/>
        <v>1.1000000000000001</v>
      </c>
      <c r="V40" s="19"/>
      <c r="W40" s="15">
        <f t="shared" si="3"/>
        <v>1.5</v>
      </c>
      <c r="X40" s="15">
        <f t="shared" si="4"/>
        <v>1.5</v>
      </c>
      <c r="Y40" s="15">
        <f t="shared" si="5"/>
        <v>1.5</v>
      </c>
      <c r="Z40" s="15">
        <f t="shared" si="6"/>
        <v>18</v>
      </c>
      <c r="AA40" s="15">
        <f t="shared" si="7"/>
        <v>23</v>
      </c>
      <c r="AB40" s="15">
        <f t="shared" si="8"/>
        <v>36</v>
      </c>
      <c r="AC40" s="15">
        <f t="shared" si="9"/>
        <v>1.1000000000000001</v>
      </c>
      <c r="AD40" s="15">
        <f t="shared" si="10"/>
        <v>2</v>
      </c>
      <c r="AE40" s="15">
        <f t="shared" si="11"/>
        <v>4.7</v>
      </c>
      <c r="BD40"/>
      <c r="BE40"/>
      <c r="BF40"/>
      <c r="BG40"/>
      <c r="BH40"/>
    </row>
    <row r="41" spans="1:60" ht="21" customHeight="1" x14ac:dyDescent="0.25">
      <c r="A41" s="33">
        <v>32</v>
      </c>
      <c r="B41" s="34"/>
      <c r="C41" s="35">
        <v>3</v>
      </c>
      <c r="D41" s="35">
        <v>0</v>
      </c>
      <c r="E41" s="35">
        <v>1</v>
      </c>
      <c r="F41" s="36">
        <f t="shared" si="24"/>
        <v>0</v>
      </c>
      <c r="G41" s="37">
        <v>0</v>
      </c>
      <c r="H41" s="36">
        <v>0</v>
      </c>
      <c r="I41" s="38">
        <v>0</v>
      </c>
      <c r="J41" s="35">
        <v>0</v>
      </c>
      <c r="K41" s="36">
        <v>0</v>
      </c>
      <c r="L41" s="38">
        <v>3</v>
      </c>
      <c r="M41" s="35">
        <v>1</v>
      </c>
      <c r="N41" s="35">
        <v>1</v>
      </c>
      <c r="O41" s="36">
        <v>6</v>
      </c>
      <c r="P41" s="33">
        <f t="shared" si="27"/>
        <v>0</v>
      </c>
      <c r="Q41" s="39">
        <f t="shared" si="26"/>
        <v>0</v>
      </c>
      <c r="R41" s="40">
        <f t="shared" si="25"/>
        <v>0</v>
      </c>
      <c r="T41" s="15">
        <f t="shared" si="28"/>
        <v>18</v>
      </c>
      <c r="U41" s="15">
        <f t="shared" si="29"/>
        <v>1.1000000000000001</v>
      </c>
      <c r="V41" s="19"/>
      <c r="W41" s="15">
        <f t="shared" si="3"/>
        <v>1.5</v>
      </c>
      <c r="X41" s="15">
        <f t="shared" si="4"/>
        <v>1.5</v>
      </c>
      <c r="Y41" s="15">
        <f t="shared" si="5"/>
        <v>1.5</v>
      </c>
      <c r="Z41" s="15">
        <f t="shared" si="6"/>
        <v>18</v>
      </c>
      <c r="AA41" s="15">
        <f t="shared" si="7"/>
        <v>23</v>
      </c>
      <c r="AB41" s="15">
        <f t="shared" si="8"/>
        <v>36</v>
      </c>
      <c r="AC41" s="15">
        <f t="shared" si="9"/>
        <v>1.1000000000000001</v>
      </c>
      <c r="AD41" s="15">
        <f t="shared" si="10"/>
        <v>2</v>
      </c>
      <c r="AE41" s="15">
        <f t="shared" si="11"/>
        <v>4.7</v>
      </c>
      <c r="BD41"/>
      <c r="BE41"/>
      <c r="BF41"/>
      <c r="BG41"/>
      <c r="BH41"/>
    </row>
    <row r="42" spans="1:60" ht="21" customHeight="1" x14ac:dyDescent="0.25">
      <c r="A42" s="33">
        <v>33</v>
      </c>
      <c r="B42" s="34"/>
      <c r="C42" s="35">
        <v>3</v>
      </c>
      <c r="D42" s="35">
        <v>0</v>
      </c>
      <c r="E42" s="35">
        <v>1</v>
      </c>
      <c r="F42" s="36">
        <f t="shared" si="24"/>
        <v>0</v>
      </c>
      <c r="G42" s="37">
        <v>0</v>
      </c>
      <c r="H42" s="36">
        <v>0</v>
      </c>
      <c r="I42" s="38">
        <v>0</v>
      </c>
      <c r="J42" s="35">
        <v>0</v>
      </c>
      <c r="K42" s="36">
        <v>0</v>
      </c>
      <c r="L42" s="38">
        <v>3</v>
      </c>
      <c r="M42" s="35">
        <v>1</v>
      </c>
      <c r="N42" s="35">
        <v>1</v>
      </c>
      <c r="O42" s="36">
        <v>6</v>
      </c>
      <c r="P42" s="33">
        <f t="shared" si="27"/>
        <v>0</v>
      </c>
      <c r="Q42" s="39">
        <f t="shared" si="26"/>
        <v>0</v>
      </c>
      <c r="R42" s="40">
        <f t="shared" si="25"/>
        <v>0</v>
      </c>
      <c r="T42" s="15">
        <f t="shared" si="28"/>
        <v>18</v>
      </c>
      <c r="U42" s="15">
        <f t="shared" si="29"/>
        <v>1.1000000000000001</v>
      </c>
      <c r="V42" s="19"/>
      <c r="W42" s="15">
        <f t="shared" ref="W42:W59" si="30">IF($D42*1.25&gt;$AJ$132,"Příliš vysoký proud pro vodič; použijte přípojnici",INDEX($AJ$120:$AL$132,MATCH($D42*1.25-0.1,$AJ$120:$AJ$132,3)+1,3))</f>
        <v>1.5</v>
      </c>
      <c r="X42" s="15">
        <f t="shared" ref="X42:X59" si="31">IF($D42*1.25&gt;$AJ$158,"Příliš vysoký proud pro vodič; použijte přípojnici",INDEX($AJ$143:$AL$158,MATCH($D42*1.25-0.1,$AJ$143:$AJ$158,3)+1,3))</f>
        <v>1.5</v>
      </c>
      <c r="Y42" s="15">
        <f t="shared" ref="Y42:Y59" si="32">IF($D42*1.25&gt;$AJ$218,"Příliš vysoký proud pro vodič; použijte přípojnici",INDEX($AJ$166:$AL$218,MATCH($D42*1.25-0.1,$AJ$166:$AJ$218,3)+1,3))</f>
        <v>1.5</v>
      </c>
      <c r="Z42" s="15">
        <f t="shared" ref="Z42:Z59" si="33">IF($D42*1.25&gt;$AJ$132,"Příliš vysoký proud pro vodič; použijte přípojnici",INDEX($AJ$120:$AL$132,MATCH($O42-0.1,$AL$120:$AL$132,3)+1,1))</f>
        <v>18</v>
      </c>
      <c r="AA42" s="15">
        <f t="shared" ref="AA42:AA59" si="34">IF($D42*1.25&gt;$AJ$158,"Příliš vysoký proud pro vodič; použijte přípojnici",INDEX($AJ$143:$AL$158,MATCH($O42-0.1,$AL$143:$AL$158,3)+1,1))</f>
        <v>23</v>
      </c>
      <c r="AB42" s="15">
        <f t="shared" ref="AB42:AB59" si="35">IF($D42*1.25&gt;$AJ$218,"Příliš vysoký proud pro vodič; použijte přípojnici",INDEX($AJ$166:$AL$218,MATCH($O42,$AL$166:$AL$218,0),1))</f>
        <v>36</v>
      </c>
      <c r="AC42" s="15">
        <f t="shared" ref="AC42:AC59" si="36">IF($D42*1.25&gt;$AJ$132,"Příliš vysoký proud pro vodič; použijte přípojnici",INDEX($AJ$120:$AL$132,MATCH($O42-0.1,$AL$120:$AL$132,3)+1,2))</f>
        <v>1.1000000000000001</v>
      </c>
      <c r="AD42" s="15">
        <f t="shared" ref="AD42:AD59" si="37">IF($D42*1.25&gt;$AJ$158,"Příliš vysoký proud pro vodič; použijte přípojnici",INDEX($AJ$143:$AL$158,MATCH($O42-0.1,$AL$143:$AL$158,3)+1,2))</f>
        <v>2</v>
      </c>
      <c r="AE42" s="15">
        <f t="shared" ref="AE42:AE59" si="38">IF($D42*1.25&gt;$AJ$218,"Strom für Leitung zu hoch;Schiene verwenden",INDEX($AJ$166:$AL$218,MATCH($O42,$AL$166:$AL$218,0),2))</f>
        <v>4.7</v>
      </c>
      <c r="BD42"/>
      <c r="BE42"/>
      <c r="BF42"/>
      <c r="BG42"/>
      <c r="BH42"/>
    </row>
    <row r="43" spans="1:60" ht="21" customHeight="1" x14ac:dyDescent="0.25">
      <c r="A43" s="33">
        <v>34</v>
      </c>
      <c r="B43" s="34"/>
      <c r="C43" s="35">
        <v>3</v>
      </c>
      <c r="D43" s="35">
        <v>0</v>
      </c>
      <c r="E43" s="35">
        <v>1</v>
      </c>
      <c r="F43" s="36">
        <f t="shared" si="24"/>
        <v>0</v>
      </c>
      <c r="G43" s="37">
        <v>0</v>
      </c>
      <c r="H43" s="36">
        <v>0</v>
      </c>
      <c r="I43" s="38">
        <v>0</v>
      </c>
      <c r="J43" s="35">
        <v>0</v>
      </c>
      <c r="K43" s="36">
        <v>0</v>
      </c>
      <c r="L43" s="38">
        <v>3</v>
      </c>
      <c r="M43" s="35">
        <v>1</v>
      </c>
      <c r="N43" s="35">
        <v>1</v>
      </c>
      <c r="O43" s="36">
        <v>6</v>
      </c>
      <c r="P43" s="33">
        <f t="shared" si="27"/>
        <v>0</v>
      </c>
      <c r="Q43" s="39">
        <f t="shared" si="26"/>
        <v>0</v>
      </c>
      <c r="R43" s="40">
        <f t="shared" si="25"/>
        <v>0</v>
      </c>
      <c r="T43" s="15">
        <f t="shared" si="28"/>
        <v>18</v>
      </c>
      <c r="U43" s="15">
        <f t="shared" si="29"/>
        <v>1.1000000000000001</v>
      </c>
      <c r="V43" s="19"/>
      <c r="W43" s="15">
        <f t="shared" si="30"/>
        <v>1.5</v>
      </c>
      <c r="X43" s="15">
        <f t="shared" si="31"/>
        <v>1.5</v>
      </c>
      <c r="Y43" s="15">
        <f t="shared" si="32"/>
        <v>1.5</v>
      </c>
      <c r="Z43" s="15">
        <f t="shared" si="33"/>
        <v>18</v>
      </c>
      <c r="AA43" s="15">
        <f t="shared" si="34"/>
        <v>23</v>
      </c>
      <c r="AB43" s="15">
        <f t="shared" si="35"/>
        <v>36</v>
      </c>
      <c r="AC43" s="15">
        <f t="shared" si="36"/>
        <v>1.1000000000000001</v>
      </c>
      <c r="AD43" s="15">
        <f t="shared" si="37"/>
        <v>2</v>
      </c>
      <c r="AE43" s="15">
        <f t="shared" si="38"/>
        <v>4.7</v>
      </c>
      <c r="BD43"/>
      <c r="BE43"/>
      <c r="BF43"/>
      <c r="BG43"/>
      <c r="BH43"/>
    </row>
    <row r="44" spans="1:60" ht="21" customHeight="1" x14ac:dyDescent="0.25">
      <c r="A44" s="33">
        <v>35</v>
      </c>
      <c r="B44" s="34"/>
      <c r="C44" s="35">
        <v>3</v>
      </c>
      <c r="D44" s="35">
        <v>0</v>
      </c>
      <c r="E44" s="35">
        <v>1</v>
      </c>
      <c r="F44" s="36">
        <f t="shared" si="24"/>
        <v>0</v>
      </c>
      <c r="G44" s="37">
        <v>0</v>
      </c>
      <c r="H44" s="36">
        <v>0</v>
      </c>
      <c r="I44" s="38">
        <v>0</v>
      </c>
      <c r="J44" s="35">
        <v>0</v>
      </c>
      <c r="K44" s="36">
        <v>0</v>
      </c>
      <c r="L44" s="38">
        <v>3</v>
      </c>
      <c r="M44" s="35">
        <v>1</v>
      </c>
      <c r="N44" s="35">
        <v>1</v>
      </c>
      <c r="O44" s="36">
        <v>4</v>
      </c>
      <c r="P44" s="33">
        <f t="shared" si="27"/>
        <v>0</v>
      </c>
      <c r="Q44" s="39">
        <f t="shared" si="26"/>
        <v>0</v>
      </c>
      <c r="R44" s="40">
        <f t="shared" si="25"/>
        <v>0</v>
      </c>
      <c r="T44" s="15">
        <f t="shared" si="28"/>
        <v>14</v>
      </c>
      <c r="U44" s="15">
        <f t="shared" si="29"/>
        <v>1</v>
      </c>
      <c r="V44" s="19"/>
      <c r="W44" s="15">
        <f t="shared" si="30"/>
        <v>1.5</v>
      </c>
      <c r="X44" s="15">
        <f t="shared" si="31"/>
        <v>1.5</v>
      </c>
      <c r="Y44" s="15">
        <f t="shared" si="32"/>
        <v>1.5</v>
      </c>
      <c r="Z44" s="15">
        <f t="shared" si="33"/>
        <v>14</v>
      </c>
      <c r="AA44" s="15">
        <f t="shared" si="34"/>
        <v>18</v>
      </c>
      <c r="AB44" s="15">
        <f t="shared" si="35"/>
        <v>28</v>
      </c>
      <c r="AC44" s="15">
        <f t="shared" si="36"/>
        <v>1</v>
      </c>
      <c r="AD44" s="15">
        <f t="shared" si="37"/>
        <v>1.7</v>
      </c>
      <c r="AE44" s="15">
        <f t="shared" si="38"/>
        <v>4.2</v>
      </c>
      <c r="BD44"/>
      <c r="BE44"/>
      <c r="BF44"/>
      <c r="BG44"/>
      <c r="BH44"/>
    </row>
    <row r="45" spans="1:60" ht="21" customHeight="1" x14ac:dyDescent="0.25">
      <c r="A45" s="33">
        <v>36</v>
      </c>
      <c r="B45" s="34"/>
      <c r="C45" s="35">
        <v>3</v>
      </c>
      <c r="D45" s="35">
        <v>0</v>
      </c>
      <c r="E45" s="35">
        <v>1</v>
      </c>
      <c r="F45" s="36">
        <f t="shared" si="24"/>
        <v>0</v>
      </c>
      <c r="G45" s="37">
        <v>0</v>
      </c>
      <c r="H45" s="36">
        <v>0</v>
      </c>
      <c r="I45" s="38">
        <v>0</v>
      </c>
      <c r="J45" s="35">
        <v>0</v>
      </c>
      <c r="K45" s="36">
        <v>0</v>
      </c>
      <c r="L45" s="38">
        <v>3</v>
      </c>
      <c r="M45" s="35">
        <v>1</v>
      </c>
      <c r="N45" s="35">
        <v>1</v>
      </c>
      <c r="O45" s="36">
        <v>4</v>
      </c>
      <c r="P45" s="33">
        <f t="shared" si="27"/>
        <v>0</v>
      </c>
      <c r="Q45" s="39">
        <f t="shared" si="26"/>
        <v>0</v>
      </c>
      <c r="R45" s="40">
        <f t="shared" si="25"/>
        <v>0</v>
      </c>
      <c r="T45" s="15">
        <f t="shared" si="28"/>
        <v>14</v>
      </c>
      <c r="U45" s="15">
        <f t="shared" si="29"/>
        <v>1</v>
      </c>
      <c r="V45" s="19"/>
      <c r="W45" s="15">
        <f t="shared" si="30"/>
        <v>1.5</v>
      </c>
      <c r="X45" s="15">
        <f t="shared" si="31"/>
        <v>1.5</v>
      </c>
      <c r="Y45" s="15">
        <f t="shared" si="32"/>
        <v>1.5</v>
      </c>
      <c r="Z45" s="15">
        <f t="shared" si="33"/>
        <v>14</v>
      </c>
      <c r="AA45" s="15">
        <f t="shared" si="34"/>
        <v>18</v>
      </c>
      <c r="AB45" s="15">
        <f t="shared" si="35"/>
        <v>28</v>
      </c>
      <c r="AC45" s="15">
        <f t="shared" si="36"/>
        <v>1</v>
      </c>
      <c r="AD45" s="15">
        <f t="shared" si="37"/>
        <v>1.7</v>
      </c>
      <c r="AE45" s="15">
        <f t="shared" si="38"/>
        <v>4.2</v>
      </c>
      <c r="BD45"/>
      <c r="BE45"/>
      <c r="BF45"/>
      <c r="BG45"/>
      <c r="BH45"/>
    </row>
    <row r="46" spans="1:60" ht="21" customHeight="1" x14ac:dyDescent="0.25">
      <c r="A46" s="33">
        <v>37</v>
      </c>
      <c r="B46" s="34"/>
      <c r="C46" s="35">
        <v>3</v>
      </c>
      <c r="D46" s="35">
        <v>0</v>
      </c>
      <c r="E46" s="35">
        <v>1</v>
      </c>
      <c r="F46" s="36">
        <f t="shared" si="24"/>
        <v>0</v>
      </c>
      <c r="G46" s="37">
        <v>0</v>
      </c>
      <c r="H46" s="36">
        <v>0</v>
      </c>
      <c r="I46" s="38">
        <v>0</v>
      </c>
      <c r="J46" s="35">
        <v>0</v>
      </c>
      <c r="K46" s="36">
        <v>0</v>
      </c>
      <c r="L46" s="38">
        <v>3</v>
      </c>
      <c r="M46" s="35">
        <v>1</v>
      </c>
      <c r="N46" s="35">
        <v>1</v>
      </c>
      <c r="O46" s="36">
        <v>4</v>
      </c>
      <c r="P46" s="33">
        <f t="shared" si="27"/>
        <v>0</v>
      </c>
      <c r="Q46" s="39">
        <f t="shared" si="26"/>
        <v>0</v>
      </c>
      <c r="R46" s="40">
        <f t="shared" si="25"/>
        <v>0</v>
      </c>
      <c r="T46" s="15">
        <f t="shared" si="28"/>
        <v>14</v>
      </c>
      <c r="U46" s="15">
        <f t="shared" si="29"/>
        <v>1</v>
      </c>
      <c r="V46" s="19"/>
      <c r="W46" s="15">
        <f t="shared" si="30"/>
        <v>1.5</v>
      </c>
      <c r="X46" s="15">
        <f t="shared" si="31"/>
        <v>1.5</v>
      </c>
      <c r="Y46" s="15">
        <f t="shared" si="32"/>
        <v>1.5</v>
      </c>
      <c r="Z46" s="15">
        <f t="shared" si="33"/>
        <v>14</v>
      </c>
      <c r="AA46" s="15">
        <f t="shared" si="34"/>
        <v>18</v>
      </c>
      <c r="AB46" s="15">
        <f t="shared" si="35"/>
        <v>28</v>
      </c>
      <c r="AC46" s="15">
        <f t="shared" si="36"/>
        <v>1</v>
      </c>
      <c r="AD46" s="15">
        <f t="shared" si="37"/>
        <v>1.7</v>
      </c>
      <c r="AE46" s="15">
        <f t="shared" si="38"/>
        <v>4.2</v>
      </c>
      <c r="BD46"/>
      <c r="BE46"/>
      <c r="BF46"/>
      <c r="BG46"/>
      <c r="BH46"/>
    </row>
    <row r="47" spans="1:60" ht="21" customHeight="1" x14ac:dyDescent="0.25">
      <c r="A47" s="33">
        <v>38</v>
      </c>
      <c r="B47" s="34"/>
      <c r="C47" s="35">
        <v>3</v>
      </c>
      <c r="D47" s="35">
        <v>0</v>
      </c>
      <c r="E47" s="35">
        <v>1</v>
      </c>
      <c r="F47" s="36">
        <f t="shared" ref="F47:F48" si="39">ROUNDUP(D47*E47,1)</f>
        <v>0</v>
      </c>
      <c r="G47" s="37">
        <v>0</v>
      </c>
      <c r="H47" s="36">
        <v>0</v>
      </c>
      <c r="I47" s="38">
        <v>0</v>
      </c>
      <c r="J47" s="35">
        <v>0</v>
      </c>
      <c r="K47" s="36">
        <v>0</v>
      </c>
      <c r="L47" s="38">
        <v>3</v>
      </c>
      <c r="M47" s="35">
        <v>1</v>
      </c>
      <c r="N47" s="35">
        <v>1</v>
      </c>
      <c r="O47" s="36">
        <v>4</v>
      </c>
      <c r="P47" s="33">
        <f t="shared" ref="P47:P48" si="40">IF(F47&gt;0,ROUNDUP(((F47*F47)/(T47*T47))*U47*L47*N47,2),)</f>
        <v>0</v>
      </c>
      <c r="Q47" s="39">
        <f t="shared" ref="Q47:Q48" si="41">ROUNDUP(IF(AND(G47&gt;0,I47&gt;0),((F47*F47)/(G47*G47)*H47*C47)+((F47*F47)/(I47*I47)*J47*C47)+K47,IF(AND(G47&gt;0,I47=0),((F47*F47)/(G47*G47)*H47*C47)+K47,IF(AND(G47=0,I47&gt;0),((F47*F47)/(I47*I47)*J47*C47)+K47,0))),2)</f>
        <v>0</v>
      </c>
      <c r="R47" s="40">
        <f t="shared" ref="R47:R48" si="42">P47+Q47</f>
        <v>0</v>
      </c>
      <c r="T47" s="15">
        <f t="shared" ref="T47:T48" si="43">IF(M47=1,Z47,IF(M47=2,AA47,IF(M47=3,AB47,"")))</f>
        <v>14</v>
      </c>
      <c r="U47" s="15">
        <f t="shared" ref="U47:U48" si="44">IF(M47=1,AC47,IF(M47=2,AD47,IF(M47=3,AE47,"")))</f>
        <v>1</v>
      </c>
      <c r="V47" s="19"/>
      <c r="W47" s="15">
        <f t="shared" si="30"/>
        <v>1.5</v>
      </c>
      <c r="X47" s="15">
        <f t="shared" si="31"/>
        <v>1.5</v>
      </c>
      <c r="Y47" s="15">
        <f t="shared" si="32"/>
        <v>1.5</v>
      </c>
      <c r="Z47" s="15">
        <f t="shared" si="33"/>
        <v>14</v>
      </c>
      <c r="AA47" s="15">
        <f t="shared" si="34"/>
        <v>18</v>
      </c>
      <c r="AB47" s="15">
        <f t="shared" si="35"/>
        <v>28</v>
      </c>
      <c r="AC47" s="15">
        <f t="shared" si="36"/>
        <v>1</v>
      </c>
      <c r="AD47" s="15">
        <f t="shared" si="37"/>
        <v>1.7</v>
      </c>
      <c r="AE47" s="15">
        <f t="shared" si="38"/>
        <v>4.2</v>
      </c>
      <c r="BD47"/>
      <c r="BE47"/>
      <c r="BF47"/>
      <c r="BG47"/>
      <c r="BH47"/>
    </row>
    <row r="48" spans="1:60" ht="21" customHeight="1" x14ac:dyDescent="0.25">
      <c r="A48" s="33">
        <v>39</v>
      </c>
      <c r="B48" s="34"/>
      <c r="C48" s="35">
        <v>3</v>
      </c>
      <c r="D48" s="35">
        <v>0</v>
      </c>
      <c r="E48" s="35">
        <v>1</v>
      </c>
      <c r="F48" s="36">
        <f t="shared" si="39"/>
        <v>0</v>
      </c>
      <c r="G48" s="37">
        <v>0</v>
      </c>
      <c r="H48" s="36">
        <v>0</v>
      </c>
      <c r="I48" s="38">
        <v>0</v>
      </c>
      <c r="J48" s="35">
        <v>0</v>
      </c>
      <c r="K48" s="36">
        <v>0</v>
      </c>
      <c r="L48" s="38">
        <v>3</v>
      </c>
      <c r="M48" s="35">
        <v>1</v>
      </c>
      <c r="N48" s="35">
        <v>1</v>
      </c>
      <c r="O48" s="36">
        <v>4</v>
      </c>
      <c r="P48" s="33">
        <f t="shared" si="40"/>
        <v>0</v>
      </c>
      <c r="Q48" s="39">
        <f t="shared" si="41"/>
        <v>0</v>
      </c>
      <c r="R48" s="40">
        <f t="shared" si="42"/>
        <v>0</v>
      </c>
      <c r="T48" s="15">
        <f t="shared" si="43"/>
        <v>14</v>
      </c>
      <c r="U48" s="15">
        <f t="shared" si="44"/>
        <v>1</v>
      </c>
      <c r="V48" s="19"/>
      <c r="W48" s="15">
        <f t="shared" si="30"/>
        <v>1.5</v>
      </c>
      <c r="X48" s="15">
        <f t="shared" si="31"/>
        <v>1.5</v>
      </c>
      <c r="Y48" s="15">
        <f t="shared" si="32"/>
        <v>1.5</v>
      </c>
      <c r="Z48" s="15">
        <f t="shared" si="33"/>
        <v>14</v>
      </c>
      <c r="AA48" s="15">
        <f t="shared" si="34"/>
        <v>18</v>
      </c>
      <c r="AB48" s="15">
        <f t="shared" si="35"/>
        <v>28</v>
      </c>
      <c r="AC48" s="15">
        <f t="shared" si="36"/>
        <v>1</v>
      </c>
      <c r="AD48" s="15">
        <f t="shared" si="37"/>
        <v>1.7</v>
      </c>
      <c r="AE48" s="15">
        <f t="shared" si="38"/>
        <v>4.2</v>
      </c>
      <c r="BD48"/>
      <c r="BE48"/>
      <c r="BF48"/>
      <c r="BG48"/>
      <c r="BH48"/>
    </row>
    <row r="49" spans="1:60" ht="21" customHeight="1" x14ac:dyDescent="0.25">
      <c r="A49" s="33">
        <v>40</v>
      </c>
      <c r="B49" s="34"/>
      <c r="C49" s="35">
        <v>3</v>
      </c>
      <c r="D49" s="35">
        <v>0</v>
      </c>
      <c r="E49" s="35">
        <v>1</v>
      </c>
      <c r="F49" s="36">
        <f t="shared" ref="F49:F50" si="45">ROUNDUP(D49*E49,1)</f>
        <v>0</v>
      </c>
      <c r="G49" s="37">
        <v>0</v>
      </c>
      <c r="H49" s="36">
        <v>0</v>
      </c>
      <c r="I49" s="38">
        <v>0</v>
      </c>
      <c r="J49" s="35">
        <v>0</v>
      </c>
      <c r="K49" s="36">
        <v>0</v>
      </c>
      <c r="L49" s="38">
        <v>3</v>
      </c>
      <c r="M49" s="35">
        <v>1</v>
      </c>
      <c r="N49" s="35">
        <v>1</v>
      </c>
      <c r="O49" s="36">
        <v>4</v>
      </c>
      <c r="P49" s="33">
        <f t="shared" ref="P49:P50" si="46">IF(F49&gt;0,ROUNDUP(((F49*F49)/(T49*T49))*U49*L49*N49,2),)</f>
        <v>0</v>
      </c>
      <c r="Q49" s="39">
        <f t="shared" ref="Q49:Q50" si="47">ROUNDUP(IF(AND(G49&gt;0,I49&gt;0),((F49*F49)/(G49*G49)*H49*C49)+((F49*F49)/(I49*I49)*J49*C49)+K49,IF(AND(G49&gt;0,I49=0),((F49*F49)/(G49*G49)*H49*C49)+K49,IF(AND(G49=0,I49&gt;0),((F49*F49)/(I49*I49)*J49*C49)+K49,0))),2)</f>
        <v>0</v>
      </c>
      <c r="R49" s="40">
        <f t="shared" ref="R49:R50" si="48">P49+Q49</f>
        <v>0</v>
      </c>
      <c r="T49" s="15">
        <f t="shared" ref="T49:T50" si="49">IF(M49=1,Z49,IF(M49=2,AA49,IF(M49=3,AB49,"")))</f>
        <v>14</v>
      </c>
      <c r="U49" s="15">
        <f t="shared" ref="U49:U50" si="50">IF(M49=1,AC49,IF(M49=2,AD49,IF(M49=3,AE49,"")))</f>
        <v>1</v>
      </c>
      <c r="V49" s="19"/>
      <c r="W49" s="15">
        <f t="shared" si="30"/>
        <v>1.5</v>
      </c>
      <c r="X49" s="15">
        <f t="shared" si="31"/>
        <v>1.5</v>
      </c>
      <c r="Y49" s="15">
        <f t="shared" si="32"/>
        <v>1.5</v>
      </c>
      <c r="Z49" s="15">
        <f t="shared" si="33"/>
        <v>14</v>
      </c>
      <c r="AA49" s="15">
        <f t="shared" si="34"/>
        <v>18</v>
      </c>
      <c r="AB49" s="15">
        <f t="shared" si="35"/>
        <v>28</v>
      </c>
      <c r="AC49" s="15">
        <f t="shared" si="36"/>
        <v>1</v>
      </c>
      <c r="AD49" s="15">
        <f t="shared" si="37"/>
        <v>1.7</v>
      </c>
      <c r="AE49" s="15">
        <f t="shared" si="38"/>
        <v>4.2</v>
      </c>
      <c r="BD49"/>
      <c r="BE49"/>
      <c r="BF49"/>
      <c r="BG49"/>
      <c r="BH49"/>
    </row>
    <row r="50" spans="1:60" ht="21" customHeight="1" x14ac:dyDescent="0.25">
      <c r="A50" s="33">
        <v>41</v>
      </c>
      <c r="B50" s="34"/>
      <c r="C50" s="35">
        <v>3</v>
      </c>
      <c r="D50" s="35">
        <v>0</v>
      </c>
      <c r="E50" s="35">
        <v>1</v>
      </c>
      <c r="F50" s="36">
        <f t="shared" si="45"/>
        <v>0</v>
      </c>
      <c r="G50" s="37">
        <v>0</v>
      </c>
      <c r="H50" s="36">
        <v>0</v>
      </c>
      <c r="I50" s="38">
        <v>0</v>
      </c>
      <c r="J50" s="35">
        <v>0</v>
      </c>
      <c r="K50" s="36">
        <v>0</v>
      </c>
      <c r="L50" s="38">
        <v>3</v>
      </c>
      <c r="M50" s="35">
        <v>1</v>
      </c>
      <c r="N50" s="35">
        <v>1</v>
      </c>
      <c r="O50" s="36">
        <v>4</v>
      </c>
      <c r="P50" s="33">
        <f t="shared" si="46"/>
        <v>0</v>
      </c>
      <c r="Q50" s="39">
        <f t="shared" si="47"/>
        <v>0</v>
      </c>
      <c r="R50" s="40">
        <f t="shared" si="48"/>
        <v>0</v>
      </c>
      <c r="T50" s="15">
        <f t="shared" si="49"/>
        <v>14</v>
      </c>
      <c r="U50" s="15">
        <f t="shared" si="50"/>
        <v>1</v>
      </c>
      <c r="V50" s="19"/>
      <c r="W50" s="15">
        <f t="shared" si="30"/>
        <v>1.5</v>
      </c>
      <c r="X50" s="15">
        <f t="shared" si="31"/>
        <v>1.5</v>
      </c>
      <c r="Y50" s="15">
        <f t="shared" si="32"/>
        <v>1.5</v>
      </c>
      <c r="Z50" s="15">
        <f t="shared" si="33"/>
        <v>14</v>
      </c>
      <c r="AA50" s="15">
        <f t="shared" si="34"/>
        <v>18</v>
      </c>
      <c r="AB50" s="15">
        <f t="shared" si="35"/>
        <v>28</v>
      </c>
      <c r="AC50" s="15">
        <f t="shared" si="36"/>
        <v>1</v>
      </c>
      <c r="AD50" s="15">
        <f t="shared" si="37"/>
        <v>1.7</v>
      </c>
      <c r="AE50" s="15">
        <f t="shared" si="38"/>
        <v>4.2</v>
      </c>
      <c r="BD50"/>
      <c r="BE50"/>
      <c r="BF50"/>
      <c r="BG50"/>
      <c r="BH50"/>
    </row>
    <row r="51" spans="1:60" ht="21" customHeight="1" x14ac:dyDescent="0.25">
      <c r="A51" s="33">
        <v>42</v>
      </c>
      <c r="B51" s="34"/>
      <c r="C51" s="35">
        <v>3</v>
      </c>
      <c r="D51" s="35">
        <v>0</v>
      </c>
      <c r="E51" s="35">
        <v>1</v>
      </c>
      <c r="F51" s="36">
        <f t="shared" ref="F51" si="51">ROUNDUP(D51*E51,1)</f>
        <v>0</v>
      </c>
      <c r="G51" s="37">
        <v>0</v>
      </c>
      <c r="H51" s="36">
        <v>0</v>
      </c>
      <c r="I51" s="38">
        <v>0</v>
      </c>
      <c r="J51" s="35">
        <v>0</v>
      </c>
      <c r="K51" s="36">
        <v>0</v>
      </c>
      <c r="L51" s="38">
        <v>3</v>
      </c>
      <c r="M51" s="35">
        <v>1</v>
      </c>
      <c r="N51" s="35">
        <v>1</v>
      </c>
      <c r="O51" s="36">
        <v>4</v>
      </c>
      <c r="P51" s="33">
        <f t="shared" ref="P51" si="52">IF(F51&gt;0,ROUNDUP(((F51*F51)/(T51*T51))*U51*L51*N51,2),)</f>
        <v>0</v>
      </c>
      <c r="Q51" s="39">
        <f t="shared" ref="Q51" si="53">ROUNDUP(IF(AND(G51&gt;0,I51&gt;0),((F51*F51)/(G51*G51)*H51*C51)+((F51*F51)/(I51*I51)*J51*C51)+K51,IF(AND(G51&gt;0,I51=0),((F51*F51)/(G51*G51)*H51*C51)+K51,IF(AND(G51=0,I51&gt;0),((F51*F51)/(I51*I51)*J51*C51)+K51,0))),2)</f>
        <v>0</v>
      </c>
      <c r="R51" s="40">
        <f t="shared" ref="R51" si="54">P51+Q51</f>
        <v>0</v>
      </c>
      <c r="T51" s="15">
        <f t="shared" ref="T51" si="55">IF(M51=1,Z51,IF(M51=2,AA51,IF(M51=3,AB51,"")))</f>
        <v>14</v>
      </c>
      <c r="U51" s="15">
        <f t="shared" ref="U51" si="56">IF(M51=1,AC51,IF(M51=2,AD51,IF(M51=3,AE51,"")))</f>
        <v>1</v>
      </c>
      <c r="V51" s="19"/>
      <c r="W51" s="15">
        <f t="shared" si="30"/>
        <v>1.5</v>
      </c>
      <c r="X51" s="15">
        <f t="shared" si="31"/>
        <v>1.5</v>
      </c>
      <c r="Y51" s="15">
        <f t="shared" si="32"/>
        <v>1.5</v>
      </c>
      <c r="Z51" s="15">
        <f t="shared" si="33"/>
        <v>14</v>
      </c>
      <c r="AA51" s="15">
        <f t="shared" si="34"/>
        <v>18</v>
      </c>
      <c r="AB51" s="15">
        <f t="shared" si="35"/>
        <v>28</v>
      </c>
      <c r="AC51" s="15">
        <f t="shared" si="36"/>
        <v>1</v>
      </c>
      <c r="AD51" s="15">
        <f t="shared" si="37"/>
        <v>1.7</v>
      </c>
      <c r="AE51" s="15">
        <f t="shared" si="38"/>
        <v>4.2</v>
      </c>
      <c r="BD51"/>
      <c r="BE51"/>
      <c r="BF51"/>
      <c r="BG51"/>
      <c r="BH51"/>
    </row>
    <row r="52" spans="1:60" ht="21" customHeight="1" x14ac:dyDescent="0.25">
      <c r="A52" s="33">
        <v>43</v>
      </c>
      <c r="B52" s="34"/>
      <c r="C52" s="35">
        <v>3</v>
      </c>
      <c r="D52" s="35">
        <v>0</v>
      </c>
      <c r="E52" s="35">
        <v>1</v>
      </c>
      <c r="F52" s="36">
        <f t="shared" ref="F52" si="57">ROUNDUP(D52*E52,1)</f>
        <v>0</v>
      </c>
      <c r="G52" s="37">
        <v>0</v>
      </c>
      <c r="H52" s="36">
        <v>0</v>
      </c>
      <c r="I52" s="38">
        <v>0</v>
      </c>
      <c r="J52" s="35">
        <v>0</v>
      </c>
      <c r="K52" s="36">
        <v>0</v>
      </c>
      <c r="L52" s="38">
        <v>3</v>
      </c>
      <c r="M52" s="35">
        <v>1</v>
      </c>
      <c r="N52" s="35">
        <v>1</v>
      </c>
      <c r="O52" s="36">
        <v>4</v>
      </c>
      <c r="P52" s="33">
        <f t="shared" ref="P52" si="58">IF(F52&gt;0,ROUNDUP(((F52*F52)/(T52*T52))*U52*L52*N52,2),)</f>
        <v>0</v>
      </c>
      <c r="Q52" s="39">
        <f t="shared" ref="Q52" si="59">ROUNDUP(IF(AND(G52&gt;0,I52&gt;0),((F52*F52)/(G52*G52)*H52*C52)+((F52*F52)/(I52*I52)*J52*C52)+K52,IF(AND(G52&gt;0,I52=0),((F52*F52)/(G52*G52)*H52*C52)+K52,IF(AND(G52=0,I52&gt;0),((F52*F52)/(I52*I52)*J52*C52)+K52,0))),2)</f>
        <v>0</v>
      </c>
      <c r="R52" s="40">
        <f t="shared" ref="R52" si="60">P52+Q52</f>
        <v>0</v>
      </c>
      <c r="T52" s="15">
        <f t="shared" ref="T52" si="61">IF(M52=1,Z52,IF(M52=2,AA52,IF(M52=3,AB52,"")))</f>
        <v>14</v>
      </c>
      <c r="U52" s="15">
        <f t="shared" ref="U52" si="62">IF(M52=1,AC52,IF(M52=2,AD52,IF(M52=3,AE52,"")))</f>
        <v>1</v>
      </c>
      <c r="V52" s="19"/>
      <c r="W52" s="15">
        <f t="shared" si="30"/>
        <v>1.5</v>
      </c>
      <c r="X52" s="15">
        <f t="shared" si="31"/>
        <v>1.5</v>
      </c>
      <c r="Y52" s="15">
        <f t="shared" si="32"/>
        <v>1.5</v>
      </c>
      <c r="Z52" s="15">
        <f t="shared" si="33"/>
        <v>14</v>
      </c>
      <c r="AA52" s="15">
        <f t="shared" si="34"/>
        <v>18</v>
      </c>
      <c r="AB52" s="15">
        <f t="shared" si="35"/>
        <v>28</v>
      </c>
      <c r="AC52" s="15">
        <f t="shared" si="36"/>
        <v>1</v>
      </c>
      <c r="AD52" s="15">
        <f t="shared" si="37"/>
        <v>1.7</v>
      </c>
      <c r="AE52" s="15">
        <f t="shared" si="38"/>
        <v>4.2</v>
      </c>
      <c r="BD52"/>
      <c r="BE52"/>
      <c r="BF52"/>
      <c r="BG52"/>
      <c r="BH52"/>
    </row>
    <row r="53" spans="1:60" ht="21" customHeight="1" x14ac:dyDescent="0.25">
      <c r="A53" s="33">
        <v>44</v>
      </c>
      <c r="B53" s="41"/>
      <c r="C53" s="35">
        <v>1</v>
      </c>
      <c r="D53" s="35">
        <v>0</v>
      </c>
      <c r="E53" s="35">
        <v>1</v>
      </c>
      <c r="F53" s="36">
        <f t="shared" ref="F53:F54" si="63">ROUNDUP(D53*E53,1)</f>
        <v>0</v>
      </c>
      <c r="G53" s="37">
        <v>0</v>
      </c>
      <c r="H53" s="36">
        <v>0</v>
      </c>
      <c r="I53" s="38">
        <v>0</v>
      </c>
      <c r="J53" s="35">
        <v>0</v>
      </c>
      <c r="K53" s="36">
        <v>0</v>
      </c>
      <c r="L53" s="38">
        <v>1</v>
      </c>
      <c r="M53" s="35">
        <v>1</v>
      </c>
      <c r="N53" s="35">
        <v>1</v>
      </c>
      <c r="O53" s="36">
        <v>4</v>
      </c>
      <c r="P53" s="33">
        <f>IF(F53&gt;0,ROUNDUP(((F53*F53)/(T53*T53))*U53*L53*N53,2),)</f>
        <v>0</v>
      </c>
      <c r="Q53" s="39">
        <f>ROUNDUP(IF(AND(G53&gt;0,I53&gt;0),((F53*F53)/(G53*G53)*H53*C53)+((F53*F53)/(I53*I53)*J53*C53)+K53,IF(AND(G53&gt;0,I53=0),((F53*F53)/(G53*G53)*H53*C53)+K53,IF(AND(G53=0,I53&gt;0),((F53*F53)/(I53*I53)*J53*C53)+K53,0))),2)</f>
        <v>0</v>
      </c>
      <c r="R53" s="40">
        <f>P53+Q53</f>
        <v>0</v>
      </c>
      <c r="T53" s="15">
        <f>IF(M53=1,Z53,IF(M53=2,AA53,IF(M53=3,AB53,"")))</f>
        <v>14</v>
      </c>
      <c r="U53" s="15">
        <f>IF(M53=1,AC53,IF(M53=2,AD53,IF(M53=3,AE53,"")))</f>
        <v>1</v>
      </c>
      <c r="V53" s="20"/>
      <c r="W53" s="15">
        <f t="shared" si="30"/>
        <v>1.5</v>
      </c>
      <c r="X53" s="15">
        <f t="shared" si="31"/>
        <v>1.5</v>
      </c>
      <c r="Y53" s="15">
        <f t="shared" si="32"/>
        <v>1.5</v>
      </c>
      <c r="Z53" s="15">
        <f t="shared" si="33"/>
        <v>14</v>
      </c>
      <c r="AA53" s="15">
        <f t="shared" si="34"/>
        <v>18</v>
      </c>
      <c r="AB53" s="15">
        <f t="shared" si="35"/>
        <v>28</v>
      </c>
      <c r="AC53" s="15">
        <f t="shared" si="36"/>
        <v>1</v>
      </c>
      <c r="AD53" s="15">
        <f t="shared" si="37"/>
        <v>1.7</v>
      </c>
      <c r="AE53" s="15">
        <f t="shared" si="38"/>
        <v>4.2</v>
      </c>
      <c r="BD53"/>
      <c r="BE53"/>
      <c r="BF53"/>
      <c r="BG53"/>
      <c r="BH53"/>
    </row>
    <row r="54" spans="1:60" ht="21" customHeight="1" x14ac:dyDescent="0.25">
      <c r="A54" s="33">
        <v>45</v>
      </c>
      <c r="B54" s="34"/>
      <c r="C54" s="35">
        <v>1</v>
      </c>
      <c r="D54" s="35">
        <v>0</v>
      </c>
      <c r="E54" s="35">
        <v>1</v>
      </c>
      <c r="F54" s="36">
        <f t="shared" si="63"/>
        <v>0</v>
      </c>
      <c r="G54" s="37">
        <v>0</v>
      </c>
      <c r="H54" s="36">
        <v>0</v>
      </c>
      <c r="I54" s="38">
        <v>0</v>
      </c>
      <c r="J54" s="35">
        <v>0</v>
      </c>
      <c r="K54" s="36">
        <v>0</v>
      </c>
      <c r="L54" s="38">
        <v>1</v>
      </c>
      <c r="M54" s="35">
        <v>1</v>
      </c>
      <c r="N54" s="35">
        <v>1</v>
      </c>
      <c r="O54" s="36">
        <v>2.5</v>
      </c>
      <c r="P54" s="33">
        <f t="shared" ref="P54:P55" si="64">IF(F54&gt;0,ROUNDUP(((F54*F54)/(T54*T54))*U54*L54*N54,2),)</f>
        <v>0</v>
      </c>
      <c r="Q54" s="39">
        <f t="shared" ref="Q54:Q55" si="65">ROUNDUP(IF(AND(G54&gt;0,I54&gt;0),((F54*F54)/(G54*G54)*H54*C54)+((F54*F54)/(I54*I54)*J54*C54)+K54,IF(AND(G54&gt;0,I54=0),((F54*F54)/(G54*G54)*H54*C54)+K54,IF(AND(G54=0,I54&gt;0),((F54*F54)/(I54*I54)*J54*C54)+K54,0))),2)</f>
        <v>0</v>
      </c>
      <c r="R54" s="40">
        <f t="shared" ref="R54:R55" si="66">P54+Q54</f>
        <v>0</v>
      </c>
      <c r="T54" s="15">
        <f t="shared" ref="T54:T55" si="67">IF(M54=1,Z54,IF(M54=2,AA54,IF(M54=3,AB54,"")))</f>
        <v>10</v>
      </c>
      <c r="U54" s="15">
        <f t="shared" ref="U54:U55" si="68">IF(M54=1,AC54,IF(M54=2,AD54,IF(M54=3,AE54,"")))</f>
        <v>0.9</v>
      </c>
      <c r="V54" s="6"/>
      <c r="W54" s="15">
        <f t="shared" si="30"/>
        <v>1.5</v>
      </c>
      <c r="X54" s="15">
        <f t="shared" si="31"/>
        <v>1.5</v>
      </c>
      <c r="Y54" s="15">
        <f t="shared" si="32"/>
        <v>1.5</v>
      </c>
      <c r="Z54" s="15">
        <f t="shared" si="33"/>
        <v>10</v>
      </c>
      <c r="AA54" s="15">
        <f t="shared" si="34"/>
        <v>13</v>
      </c>
      <c r="AB54" s="15">
        <f t="shared" si="35"/>
        <v>21</v>
      </c>
      <c r="AC54" s="15">
        <f t="shared" si="36"/>
        <v>0.9</v>
      </c>
      <c r="AD54" s="15">
        <f t="shared" si="37"/>
        <v>1.5</v>
      </c>
      <c r="AE54" s="15">
        <f t="shared" si="38"/>
        <v>3.7</v>
      </c>
      <c r="BD54"/>
      <c r="BE54"/>
      <c r="BF54"/>
      <c r="BG54"/>
      <c r="BH54"/>
    </row>
    <row r="55" spans="1:60" ht="21" customHeight="1" x14ac:dyDescent="0.25">
      <c r="A55" s="33">
        <v>46</v>
      </c>
      <c r="B55" s="34"/>
      <c r="C55" s="35">
        <v>1</v>
      </c>
      <c r="D55" s="35">
        <v>0</v>
      </c>
      <c r="E55" s="35">
        <v>1</v>
      </c>
      <c r="F55" s="36">
        <f t="shared" ref="F55" si="69">ROUNDUP(D55*E55,1)</f>
        <v>0</v>
      </c>
      <c r="G55" s="37">
        <v>0</v>
      </c>
      <c r="H55" s="36">
        <v>0</v>
      </c>
      <c r="I55" s="38">
        <v>0</v>
      </c>
      <c r="J55" s="35">
        <v>0</v>
      </c>
      <c r="K55" s="36">
        <v>0</v>
      </c>
      <c r="L55" s="38">
        <v>1</v>
      </c>
      <c r="M55" s="35">
        <v>1</v>
      </c>
      <c r="N55" s="35">
        <v>1</v>
      </c>
      <c r="O55" s="36">
        <v>2.5</v>
      </c>
      <c r="P55" s="33">
        <f t="shared" si="64"/>
        <v>0</v>
      </c>
      <c r="Q55" s="39">
        <f t="shared" si="65"/>
        <v>0</v>
      </c>
      <c r="R55" s="40">
        <f t="shared" si="66"/>
        <v>0</v>
      </c>
      <c r="T55" s="15">
        <f t="shared" si="67"/>
        <v>10</v>
      </c>
      <c r="U55" s="15">
        <f t="shared" si="68"/>
        <v>0.9</v>
      </c>
      <c r="V55" s="20"/>
      <c r="W55" s="15">
        <f t="shared" si="30"/>
        <v>1.5</v>
      </c>
      <c r="X55" s="15">
        <f t="shared" si="31"/>
        <v>1.5</v>
      </c>
      <c r="Y55" s="15">
        <f t="shared" si="32"/>
        <v>1.5</v>
      </c>
      <c r="Z55" s="15">
        <f t="shared" si="33"/>
        <v>10</v>
      </c>
      <c r="AA55" s="15">
        <f t="shared" si="34"/>
        <v>13</v>
      </c>
      <c r="AB55" s="15">
        <f t="shared" si="35"/>
        <v>21</v>
      </c>
      <c r="AC55" s="15">
        <f t="shared" si="36"/>
        <v>0.9</v>
      </c>
      <c r="AD55" s="15">
        <f t="shared" si="37"/>
        <v>1.5</v>
      </c>
      <c r="AE55" s="15">
        <f t="shared" si="38"/>
        <v>3.7</v>
      </c>
      <c r="BD55"/>
      <c r="BE55"/>
      <c r="BF55"/>
      <c r="BG55"/>
      <c r="BH55"/>
    </row>
    <row r="56" spans="1:60" ht="21" customHeight="1" x14ac:dyDescent="0.25">
      <c r="A56" s="33">
        <v>47</v>
      </c>
      <c r="B56" s="34"/>
      <c r="C56" s="35">
        <v>1</v>
      </c>
      <c r="D56" s="35">
        <v>0</v>
      </c>
      <c r="E56" s="35">
        <v>1</v>
      </c>
      <c r="F56" s="36">
        <f t="shared" ref="F56:F58" si="70">ROUNDUP(D56*E56,1)</f>
        <v>0</v>
      </c>
      <c r="G56" s="37">
        <v>0</v>
      </c>
      <c r="H56" s="36">
        <v>0</v>
      </c>
      <c r="I56" s="38">
        <v>0</v>
      </c>
      <c r="J56" s="35">
        <v>0</v>
      </c>
      <c r="K56" s="36">
        <v>0</v>
      </c>
      <c r="L56" s="38">
        <v>1</v>
      </c>
      <c r="M56" s="35">
        <v>1</v>
      </c>
      <c r="N56" s="35">
        <v>1</v>
      </c>
      <c r="O56" s="36">
        <v>2.5</v>
      </c>
      <c r="P56" s="33">
        <f>IF(F56&gt;0,ROUNDUP(((F56*F56)/(T56*T56))*U56*L56*N56,2),)</f>
        <v>0</v>
      </c>
      <c r="Q56" s="39">
        <f>ROUNDUP(IF(AND(G56&gt;0,I56&gt;0),((F56*F56)/(G56*G56)*H56*C56)+((F56*F56)/(I56*I56)*J56*C56)+K56,IF(AND(G56&gt;0,I56=0),((F56*F56)/(G56*G56)*H56*C56)+K56,IF(AND(G56=0,I56&gt;0),((F56*F56)/(I56*I56)*J56*C56)+K56,0))),2)</f>
        <v>0</v>
      </c>
      <c r="R56" s="40">
        <f>P56+Q56</f>
        <v>0</v>
      </c>
      <c r="T56" s="15">
        <f>IF(M56=1,Z56,IF(M56=2,AA56,IF(M56=3,AB56,"")))</f>
        <v>10</v>
      </c>
      <c r="U56" s="15">
        <f>IF(M56=1,AC56,IF(M56=2,AD56,IF(M56=3,AE56,"")))</f>
        <v>0.9</v>
      </c>
      <c r="V56" s="6"/>
      <c r="W56" s="15">
        <f t="shared" si="30"/>
        <v>1.5</v>
      </c>
      <c r="X56" s="15">
        <f t="shared" si="31"/>
        <v>1.5</v>
      </c>
      <c r="Y56" s="15">
        <f t="shared" si="32"/>
        <v>1.5</v>
      </c>
      <c r="Z56" s="15">
        <f t="shared" si="33"/>
        <v>10</v>
      </c>
      <c r="AA56" s="15">
        <f t="shared" si="34"/>
        <v>13</v>
      </c>
      <c r="AB56" s="15">
        <f t="shared" si="35"/>
        <v>21</v>
      </c>
      <c r="AC56" s="15">
        <f t="shared" si="36"/>
        <v>0.9</v>
      </c>
      <c r="AD56" s="15">
        <f t="shared" si="37"/>
        <v>1.5</v>
      </c>
      <c r="AE56" s="15">
        <f t="shared" si="38"/>
        <v>3.7</v>
      </c>
      <c r="BD56"/>
      <c r="BE56"/>
      <c r="BF56"/>
      <c r="BG56"/>
      <c r="BH56"/>
    </row>
    <row r="57" spans="1:60" ht="21" customHeight="1" x14ac:dyDescent="0.25">
      <c r="A57" s="33">
        <v>48</v>
      </c>
      <c r="B57" s="34"/>
      <c r="C57" s="35">
        <v>1</v>
      </c>
      <c r="D57" s="35">
        <v>0</v>
      </c>
      <c r="E57" s="35">
        <v>1</v>
      </c>
      <c r="F57" s="36">
        <f t="shared" si="70"/>
        <v>0</v>
      </c>
      <c r="G57" s="37">
        <v>0</v>
      </c>
      <c r="H57" s="36">
        <v>0</v>
      </c>
      <c r="I57" s="38">
        <v>0</v>
      </c>
      <c r="J57" s="35">
        <v>0</v>
      </c>
      <c r="K57" s="36">
        <v>0</v>
      </c>
      <c r="L57" s="38">
        <v>1</v>
      </c>
      <c r="M57" s="35">
        <v>1</v>
      </c>
      <c r="N57" s="35">
        <v>1</v>
      </c>
      <c r="O57" s="36">
        <v>2.5</v>
      </c>
      <c r="P57" s="33">
        <f>IF(F57&gt;0,ROUNDUP(((F57*F57)/(T57*T57))*U57*L57*N57,2),)</f>
        <v>0</v>
      </c>
      <c r="Q57" s="39">
        <f>ROUNDUP(IF(AND(G57&gt;0,I57&gt;0),((F57*F57)/(G57*G57)*H57*C57)+((F57*F57)/(I57*I57)*J57*C57)+K57,IF(AND(G57&gt;0,I57=0),((F57*F57)/(G57*G57)*H57*C57)+K57,IF(AND(G57=0,I57&gt;0),((F57*F57)/(I57*I57)*J57*C57)+K57,0))),2)</f>
        <v>0</v>
      </c>
      <c r="R57" s="40">
        <f>P57+Q57</f>
        <v>0</v>
      </c>
      <c r="T57" s="15">
        <f>IF(M57=1,Z57,IF(M57=2,AA57,IF(M57=3,AB57,"")))</f>
        <v>10</v>
      </c>
      <c r="U57" s="15">
        <f>IF(M57=1,AC57,IF(M57=2,AD57,IF(M57=3,AE57,"")))</f>
        <v>0.9</v>
      </c>
      <c r="V57" s="20"/>
      <c r="W57" s="15">
        <f t="shared" si="30"/>
        <v>1.5</v>
      </c>
      <c r="X57" s="15">
        <f t="shared" si="31"/>
        <v>1.5</v>
      </c>
      <c r="Y57" s="15">
        <f t="shared" si="32"/>
        <v>1.5</v>
      </c>
      <c r="Z57" s="15">
        <f t="shared" si="33"/>
        <v>10</v>
      </c>
      <c r="AA57" s="15">
        <f t="shared" si="34"/>
        <v>13</v>
      </c>
      <c r="AB57" s="15">
        <f t="shared" si="35"/>
        <v>21</v>
      </c>
      <c r="AC57" s="15">
        <f t="shared" si="36"/>
        <v>0.9</v>
      </c>
      <c r="AD57" s="15">
        <f t="shared" si="37"/>
        <v>1.5</v>
      </c>
      <c r="AE57" s="15">
        <f t="shared" si="38"/>
        <v>3.7</v>
      </c>
      <c r="BD57"/>
      <c r="BE57"/>
      <c r="BF57"/>
      <c r="BG57"/>
      <c r="BH57"/>
    </row>
    <row r="58" spans="1:60" ht="21" customHeight="1" x14ac:dyDescent="0.25">
      <c r="A58" s="33">
        <v>49</v>
      </c>
      <c r="B58" s="34"/>
      <c r="C58" s="35">
        <v>1</v>
      </c>
      <c r="D58" s="35">
        <v>0</v>
      </c>
      <c r="E58" s="35">
        <v>1</v>
      </c>
      <c r="F58" s="36">
        <f t="shared" si="70"/>
        <v>0</v>
      </c>
      <c r="G58" s="37">
        <v>0</v>
      </c>
      <c r="H58" s="36">
        <v>0</v>
      </c>
      <c r="I58" s="38">
        <v>0</v>
      </c>
      <c r="J58" s="35">
        <v>0</v>
      </c>
      <c r="K58" s="36">
        <v>0</v>
      </c>
      <c r="L58" s="38">
        <v>1</v>
      </c>
      <c r="M58" s="35">
        <v>1</v>
      </c>
      <c r="N58" s="35">
        <v>1</v>
      </c>
      <c r="O58" s="36">
        <v>2.5</v>
      </c>
      <c r="P58" s="33">
        <f>IF(F58&gt;0,ROUNDUP(((F58*F58)/(T58*T58))*U58*L58*N58,2),)</f>
        <v>0</v>
      </c>
      <c r="Q58" s="39">
        <f>ROUNDUP(IF(AND(G58&gt;0,I58&gt;0),((F58*F58)/(G58*G58)*H58*C58)+((F58*F58)/(I58*I58)*J58*C58)+K58,IF(AND(G58&gt;0,I58=0),((F58*F58)/(G58*G58)*H58*C58)+K58,IF(AND(G58=0,I58&gt;0),((F58*F58)/(I58*I58)*J58*C58)+K58,0))),2)</f>
        <v>0</v>
      </c>
      <c r="R58" s="40">
        <f>P58+Q58</f>
        <v>0</v>
      </c>
      <c r="T58" s="15">
        <f>IF(M58=1,Z58,IF(M58=2,AA58,IF(M58=3,AB58,"")))</f>
        <v>10</v>
      </c>
      <c r="U58" s="15">
        <f>IF(M58=1,AC58,IF(M58=2,AD58,IF(M58=3,AE58,"")))</f>
        <v>0.9</v>
      </c>
      <c r="V58" s="20"/>
      <c r="W58" s="15">
        <f t="shared" si="30"/>
        <v>1.5</v>
      </c>
      <c r="X58" s="15">
        <f t="shared" si="31"/>
        <v>1.5</v>
      </c>
      <c r="Y58" s="15">
        <f t="shared" si="32"/>
        <v>1.5</v>
      </c>
      <c r="Z58" s="15">
        <f t="shared" si="33"/>
        <v>10</v>
      </c>
      <c r="AA58" s="15">
        <f t="shared" si="34"/>
        <v>13</v>
      </c>
      <c r="AB58" s="15">
        <f t="shared" si="35"/>
        <v>21</v>
      </c>
      <c r="AC58" s="15">
        <f t="shared" si="36"/>
        <v>0.9</v>
      </c>
      <c r="AD58" s="15">
        <f t="shared" si="37"/>
        <v>1.5</v>
      </c>
      <c r="AE58" s="15">
        <f t="shared" si="38"/>
        <v>3.7</v>
      </c>
      <c r="BD58"/>
      <c r="BE58"/>
      <c r="BF58"/>
      <c r="BG58"/>
      <c r="BH58"/>
    </row>
    <row r="59" spans="1:60" ht="21" customHeight="1" thickBot="1" x14ac:dyDescent="0.3">
      <c r="A59" s="33">
        <v>50</v>
      </c>
      <c r="B59" s="34"/>
      <c r="C59" s="35">
        <v>1</v>
      </c>
      <c r="D59" s="35">
        <v>0</v>
      </c>
      <c r="E59" s="35">
        <v>1</v>
      </c>
      <c r="F59" s="36">
        <f>ROUNDUP(D59*E59,1)</f>
        <v>0</v>
      </c>
      <c r="G59" s="37">
        <v>0</v>
      </c>
      <c r="H59" s="36">
        <v>0</v>
      </c>
      <c r="I59" s="38">
        <v>0</v>
      </c>
      <c r="J59" s="35">
        <v>0</v>
      </c>
      <c r="K59" s="36">
        <v>0</v>
      </c>
      <c r="L59" s="38">
        <v>1</v>
      </c>
      <c r="M59" s="35">
        <v>1</v>
      </c>
      <c r="N59" s="35">
        <v>1</v>
      </c>
      <c r="O59" s="36">
        <v>2.5</v>
      </c>
      <c r="P59" s="33">
        <f t="shared" ref="P59" si="71">IF(F59&gt;0,ROUNDUP(((F59*F59)/(T59*T59))*U59*L59*N59,2),)</f>
        <v>0</v>
      </c>
      <c r="Q59" s="39">
        <f t="shared" ref="Q59" si="72">ROUNDUP(IF(AND(G59&gt;0,I59&gt;0),((F59*F59)/(G59*G59)*H59*C59)+((F59*F59)/(I59*I59)*J59*C59)+K59,IF(AND(G59&gt;0,I59=0),((F59*F59)/(G59*G59)*H59*C59)+K59,IF(AND(G59=0,I59&gt;0),((F59*F59)/(I59*I59)*J59*C59)+K59,0))),2)</f>
        <v>0</v>
      </c>
      <c r="R59" s="40">
        <f t="shared" ref="R59" si="73">P59+Q59</f>
        <v>0</v>
      </c>
      <c r="T59" s="15">
        <f t="shared" ref="T59" si="74">IF(M59=1,Z59,IF(M59=2,AA59,IF(M59=3,AB59,"")))</f>
        <v>10</v>
      </c>
      <c r="U59" s="15">
        <f t="shared" ref="U59" si="75">IF(M59=1,AC59,IF(M59=2,AD59,IF(M59=3,AE59,"")))</f>
        <v>0.9</v>
      </c>
      <c r="V59" s="19"/>
      <c r="W59" s="15">
        <f t="shared" si="30"/>
        <v>1.5</v>
      </c>
      <c r="X59" s="15">
        <f t="shared" si="31"/>
        <v>1.5</v>
      </c>
      <c r="Y59" s="15">
        <f t="shared" si="32"/>
        <v>1.5</v>
      </c>
      <c r="Z59" s="15">
        <f t="shared" si="33"/>
        <v>10</v>
      </c>
      <c r="AA59" s="15">
        <f t="shared" si="34"/>
        <v>13</v>
      </c>
      <c r="AB59" s="15">
        <f t="shared" si="35"/>
        <v>21</v>
      </c>
      <c r="AC59" s="15">
        <f t="shared" si="36"/>
        <v>0.9</v>
      </c>
      <c r="AD59" s="15">
        <f t="shared" si="37"/>
        <v>1.5</v>
      </c>
      <c r="AE59" s="15">
        <f t="shared" si="38"/>
        <v>3.7</v>
      </c>
      <c r="BD59"/>
      <c r="BE59"/>
      <c r="BF59"/>
      <c r="BG59"/>
      <c r="BH59"/>
    </row>
    <row r="60" spans="1:60" s="3" customFormat="1" ht="15" customHeight="1" thickBot="1" x14ac:dyDescent="0.3">
      <c r="A60" s="42"/>
      <c r="B60" s="43"/>
      <c r="C60" s="238" t="s">
        <v>230</v>
      </c>
      <c r="D60" s="239"/>
      <c r="E60" s="239"/>
      <c r="F60" s="44">
        <f>SUM(F11:F58)</f>
        <v>200</v>
      </c>
      <c r="G60" s="250"/>
      <c r="H60" s="251"/>
      <c r="I60" s="251"/>
      <c r="J60" s="251"/>
      <c r="K60" s="251"/>
      <c r="L60" s="251"/>
      <c r="M60" s="251"/>
      <c r="N60" s="252"/>
      <c r="O60" s="238" t="s">
        <v>148</v>
      </c>
      <c r="P60" s="239"/>
      <c r="Q60" s="239"/>
      <c r="R60" s="44">
        <f>SUM(R10:R52)</f>
        <v>181.88</v>
      </c>
      <c r="S60" s="16"/>
      <c r="T60" s="16"/>
      <c r="U60" s="16"/>
      <c r="V60" s="20"/>
      <c r="W60" s="16"/>
      <c r="X60" s="16"/>
      <c r="Y60" s="16"/>
      <c r="Z60" s="16"/>
      <c r="AA60" s="16"/>
      <c r="AB60" s="16"/>
      <c r="AC60" s="16"/>
      <c r="AD60" s="16"/>
      <c r="AE60" s="16"/>
      <c r="AF60" s="16"/>
      <c r="BD60"/>
      <c r="BE60"/>
      <c r="BF60"/>
      <c r="BG60"/>
      <c r="BH60"/>
    </row>
    <row r="61" spans="1:60" s="3" customFormat="1" ht="46.5" customHeight="1" thickBot="1" x14ac:dyDescent="0.3">
      <c r="A61" s="109"/>
      <c r="B61" s="135"/>
      <c r="C61" s="185"/>
      <c r="D61" s="185"/>
      <c r="E61" s="185"/>
      <c r="F61" s="110"/>
      <c r="G61" s="253"/>
      <c r="H61" s="254"/>
      <c r="I61" s="254"/>
      <c r="J61" s="254"/>
      <c r="K61" s="254"/>
      <c r="L61" s="254"/>
      <c r="M61" s="254"/>
      <c r="N61" s="255"/>
      <c r="O61" s="238" t="s">
        <v>149</v>
      </c>
      <c r="P61" s="239"/>
      <c r="Q61" s="239"/>
      <c r="R61" s="45">
        <f>$C$116</f>
        <v>0</v>
      </c>
      <c r="S61" s="16"/>
      <c r="T61" s="16"/>
      <c r="U61" s="16"/>
      <c r="V61" s="20"/>
      <c r="W61" s="16"/>
      <c r="X61" s="16"/>
      <c r="Y61" s="16"/>
      <c r="Z61" s="16"/>
      <c r="AA61" s="16"/>
      <c r="AB61" s="16"/>
      <c r="AC61" s="16"/>
      <c r="AD61" s="16"/>
      <c r="AE61" s="16"/>
      <c r="AF61" s="16"/>
      <c r="BD61"/>
      <c r="BE61"/>
      <c r="BF61"/>
      <c r="BG61"/>
      <c r="BH61"/>
    </row>
    <row r="62" spans="1:60" s="3" customFormat="1" ht="15" customHeight="1" thickBot="1" x14ac:dyDescent="0.3">
      <c r="A62" s="109"/>
      <c r="B62" s="135"/>
      <c r="C62" s="185"/>
      <c r="D62" s="185"/>
      <c r="E62" s="185"/>
      <c r="F62" s="110"/>
      <c r="G62" s="253"/>
      <c r="H62" s="254"/>
      <c r="I62" s="254"/>
      <c r="J62" s="254"/>
      <c r="K62" s="254"/>
      <c r="L62" s="254"/>
      <c r="M62" s="254"/>
      <c r="N62" s="255"/>
      <c r="O62" s="238" t="s">
        <v>150</v>
      </c>
      <c r="P62" s="239"/>
      <c r="Q62" s="239"/>
      <c r="R62" s="44">
        <f>R60-R61</f>
        <v>181.88</v>
      </c>
      <c r="S62" s="16"/>
      <c r="T62" s="16"/>
      <c r="U62" s="16"/>
      <c r="V62" s="19"/>
      <c r="W62" s="16"/>
      <c r="X62" s="16"/>
      <c r="Y62" s="16"/>
      <c r="Z62" s="16"/>
      <c r="AA62" s="16"/>
      <c r="AB62" s="16"/>
      <c r="AC62" s="16"/>
      <c r="AD62" s="16"/>
      <c r="AE62" s="16"/>
      <c r="AF62" s="16"/>
      <c r="BD62"/>
      <c r="BE62"/>
      <c r="BF62"/>
      <c r="BG62"/>
      <c r="BH62"/>
    </row>
    <row r="63" spans="1:60" s="3" customFormat="1" ht="15.75" thickBot="1" x14ac:dyDescent="0.3">
      <c r="A63" s="109"/>
      <c r="B63" s="135"/>
      <c r="C63" s="136"/>
      <c r="D63" s="136"/>
      <c r="E63" s="136"/>
      <c r="F63" s="110"/>
      <c r="G63" s="253"/>
      <c r="H63" s="254"/>
      <c r="I63" s="254"/>
      <c r="J63" s="254"/>
      <c r="K63" s="254"/>
      <c r="L63" s="254"/>
      <c r="M63" s="254"/>
      <c r="N63" s="255"/>
      <c r="O63" s="242" t="s">
        <v>151</v>
      </c>
      <c r="P63" s="243"/>
      <c r="Q63" s="243"/>
      <c r="R63" s="244"/>
      <c r="S63" s="16"/>
      <c r="T63" s="16"/>
      <c r="U63" s="16"/>
      <c r="V63" s="19"/>
      <c r="W63" s="16"/>
      <c r="X63" s="16"/>
      <c r="Y63" s="16"/>
      <c r="Z63" s="16"/>
      <c r="AA63" s="16"/>
      <c r="AB63" s="16"/>
      <c r="AC63" s="16"/>
      <c r="AD63" s="16"/>
      <c r="AE63" s="16"/>
      <c r="AF63" s="16"/>
      <c r="BD63"/>
      <c r="BE63"/>
      <c r="BF63"/>
      <c r="BG63"/>
      <c r="BH63"/>
    </row>
    <row r="64" spans="1:60" s="3" customFormat="1" ht="15.75" customHeight="1" thickBot="1" x14ac:dyDescent="0.3">
      <c r="A64" s="109"/>
      <c r="B64" s="135"/>
      <c r="C64" s="136"/>
      <c r="D64" s="136"/>
      <c r="E64" s="136"/>
      <c r="F64" s="110"/>
      <c r="G64" s="253"/>
      <c r="H64" s="254"/>
      <c r="I64" s="254"/>
      <c r="J64" s="254"/>
      <c r="K64" s="254"/>
      <c r="L64" s="254"/>
      <c r="M64" s="254"/>
      <c r="N64" s="255"/>
      <c r="O64" s="240" t="s">
        <v>153</v>
      </c>
      <c r="P64" s="241"/>
      <c r="Q64" s="241"/>
      <c r="R64" s="44">
        <f>ROUNDUP($E$104,1)</f>
        <v>12</v>
      </c>
      <c r="S64" s="16"/>
      <c r="T64" s="16"/>
      <c r="U64" s="16"/>
      <c r="V64" s="19"/>
      <c r="W64" s="16"/>
      <c r="X64" s="16"/>
      <c r="Y64" s="16"/>
      <c r="Z64" s="16"/>
      <c r="AA64" s="16"/>
      <c r="AB64" s="16"/>
      <c r="AC64" s="16"/>
      <c r="AD64" s="16"/>
      <c r="AE64" s="16"/>
      <c r="AF64" s="16"/>
      <c r="BD64"/>
      <c r="BE64"/>
      <c r="BF64"/>
      <c r="BG64"/>
      <c r="BH64"/>
    </row>
    <row r="65" spans="1:71" s="3" customFormat="1" ht="15.75" customHeight="1" thickBot="1" x14ac:dyDescent="0.3">
      <c r="A65" s="109"/>
      <c r="B65" s="135"/>
      <c r="C65" s="136"/>
      <c r="D65" s="136"/>
      <c r="E65" s="136"/>
      <c r="F65" s="110"/>
      <c r="G65" s="253"/>
      <c r="H65" s="254"/>
      <c r="I65" s="254"/>
      <c r="J65" s="254"/>
      <c r="K65" s="254"/>
      <c r="L65" s="254"/>
      <c r="M65" s="254"/>
      <c r="N65" s="255"/>
      <c r="O65" s="240" t="s">
        <v>154</v>
      </c>
      <c r="P65" s="241"/>
      <c r="Q65" s="241"/>
      <c r="R65" s="44">
        <f>$Q$3+R64</f>
        <v>47</v>
      </c>
      <c r="S65" s="16"/>
      <c r="T65" s="16"/>
      <c r="U65" s="16"/>
      <c r="V65" s="19"/>
      <c r="W65" s="16"/>
      <c r="X65" s="16"/>
      <c r="Y65" s="16"/>
      <c r="Z65" s="16"/>
      <c r="AA65" s="16"/>
      <c r="AB65" s="16"/>
      <c r="AC65" s="16"/>
      <c r="AD65" s="16"/>
      <c r="AE65" s="16"/>
      <c r="AF65" s="16"/>
      <c r="BD65"/>
      <c r="BE65"/>
      <c r="BF65"/>
      <c r="BG65"/>
      <c r="BH65"/>
    </row>
    <row r="66" spans="1:71" s="3" customFormat="1" ht="15.75" customHeight="1" thickBot="1" x14ac:dyDescent="0.3">
      <c r="A66" s="137"/>
      <c r="B66" s="138"/>
      <c r="C66" s="139"/>
      <c r="D66" s="139"/>
      <c r="E66" s="139"/>
      <c r="F66" s="140"/>
      <c r="G66" s="253"/>
      <c r="H66" s="254"/>
      <c r="I66" s="254"/>
      <c r="J66" s="254"/>
      <c r="K66" s="254"/>
      <c r="L66" s="254"/>
      <c r="M66" s="254"/>
      <c r="N66" s="255"/>
      <c r="O66" s="242" t="s">
        <v>152</v>
      </c>
      <c r="P66" s="243"/>
      <c r="Q66" s="243"/>
      <c r="R66" s="244"/>
      <c r="S66" s="16"/>
      <c r="T66" s="16"/>
      <c r="U66" s="16"/>
      <c r="V66" s="19"/>
      <c r="W66" s="16"/>
      <c r="X66" s="16"/>
      <c r="Y66" s="16"/>
      <c r="Z66" s="16"/>
      <c r="AA66" s="16"/>
      <c r="AB66" s="16"/>
      <c r="AC66" s="16"/>
      <c r="AD66" s="16"/>
      <c r="AE66" s="16"/>
      <c r="AF66" s="16"/>
      <c r="BD66"/>
      <c r="BE66"/>
      <c r="BF66"/>
      <c r="BG66"/>
      <c r="BH66"/>
    </row>
    <row r="67" spans="1:71" ht="15.75" customHeight="1" thickBot="1" x14ac:dyDescent="0.3">
      <c r="A67" s="111"/>
      <c r="B67" s="141"/>
      <c r="C67" s="112"/>
      <c r="D67" s="112"/>
      <c r="E67" s="112"/>
      <c r="F67" s="112"/>
      <c r="G67" s="253"/>
      <c r="H67" s="254"/>
      <c r="I67" s="254"/>
      <c r="J67" s="254"/>
      <c r="K67" s="254"/>
      <c r="L67" s="254"/>
      <c r="M67" s="254"/>
      <c r="N67" s="255"/>
      <c r="O67" s="240" t="s">
        <v>153</v>
      </c>
      <c r="P67" s="241"/>
      <c r="Q67" s="241"/>
      <c r="R67" s="44">
        <f>ROUNDUP($E$102,1)</f>
        <v>9.8000000000000007</v>
      </c>
      <c r="V67" s="19"/>
      <c r="BD67"/>
      <c r="BE67"/>
      <c r="BF67"/>
      <c r="BG67"/>
      <c r="BH67"/>
    </row>
    <row r="68" spans="1:71" ht="15" customHeight="1" thickBot="1" x14ac:dyDescent="0.3">
      <c r="A68" s="213" t="s">
        <v>231</v>
      </c>
      <c r="B68" s="214"/>
      <c r="C68" s="214"/>
      <c r="D68" s="214"/>
      <c r="E68" s="214"/>
      <c r="F68" s="214"/>
      <c r="G68" s="253"/>
      <c r="H68" s="254"/>
      <c r="I68" s="254"/>
      <c r="J68" s="254"/>
      <c r="K68" s="254"/>
      <c r="L68" s="254"/>
      <c r="M68" s="254"/>
      <c r="N68" s="255"/>
      <c r="O68" s="240" t="s">
        <v>154</v>
      </c>
      <c r="P68" s="241"/>
      <c r="Q68" s="241"/>
      <c r="R68" s="44">
        <f>$Q$3+R67</f>
        <v>44.8</v>
      </c>
      <c r="V68" s="19"/>
      <c r="BD68"/>
      <c r="BE68"/>
      <c r="BF68"/>
      <c r="BG68"/>
      <c r="BH68"/>
    </row>
    <row r="69" spans="1:71" ht="90" customHeight="1" thickBot="1" x14ac:dyDescent="0.3">
      <c r="A69" s="215"/>
      <c r="B69" s="216"/>
      <c r="C69" s="216"/>
      <c r="D69" s="216"/>
      <c r="E69" s="216"/>
      <c r="F69" s="216"/>
      <c r="G69" s="256"/>
      <c r="H69" s="257"/>
      <c r="I69" s="257"/>
      <c r="J69" s="257"/>
      <c r="K69" s="257"/>
      <c r="L69" s="257"/>
      <c r="M69" s="257"/>
      <c r="N69" s="258"/>
      <c r="O69" s="247"/>
      <c r="P69" s="248"/>
      <c r="Q69" s="248"/>
      <c r="R69" s="249"/>
      <c r="V69" s="19"/>
      <c r="AV69"/>
      <c r="AW69"/>
      <c r="AX69"/>
      <c r="AY69"/>
      <c r="AZ69"/>
      <c r="BA69"/>
      <c r="BB69"/>
      <c r="BC69"/>
      <c r="BD69"/>
      <c r="BE69"/>
      <c r="BF69"/>
      <c r="BG69"/>
      <c r="BH69"/>
    </row>
    <row r="70" spans="1:71" hidden="1" x14ac:dyDescent="0.25">
      <c r="A70" s="88"/>
      <c r="B70" s="89"/>
      <c r="C70" s="89"/>
      <c r="D70" s="89"/>
      <c r="E70" s="89"/>
      <c r="F70" s="89"/>
      <c r="G70" s="89"/>
      <c r="H70" s="89"/>
      <c r="I70" s="88"/>
      <c r="J70" s="89"/>
      <c r="K70" s="89"/>
      <c r="L70" s="89"/>
      <c r="M70" s="90"/>
      <c r="N70" s="90"/>
      <c r="O70" s="90"/>
      <c r="P70" s="90"/>
      <c r="Q70" s="90"/>
      <c r="R70" s="91"/>
      <c r="V70" s="19"/>
      <c r="AV70"/>
      <c r="AW70"/>
      <c r="AX70"/>
      <c r="AY70"/>
      <c r="AZ70"/>
      <c r="BA70"/>
      <c r="BB70"/>
      <c r="BC70"/>
      <c r="BD70"/>
      <c r="BE70"/>
      <c r="BF70"/>
      <c r="BG70"/>
      <c r="BH70"/>
    </row>
    <row r="71" spans="1:71" hidden="1" x14ac:dyDescent="0.25">
      <c r="A71" s="47"/>
      <c r="B71" s="114"/>
      <c r="C71" s="114"/>
      <c r="D71" s="114"/>
      <c r="E71" s="114"/>
      <c r="F71" s="114"/>
      <c r="G71" s="114"/>
      <c r="H71" s="114"/>
      <c r="I71" s="47"/>
      <c r="J71" s="114"/>
      <c r="K71" s="114"/>
      <c r="L71" s="114"/>
      <c r="M71" s="108"/>
      <c r="N71" s="108"/>
      <c r="O71" s="108"/>
      <c r="P71" s="108"/>
      <c r="Q71" s="108"/>
      <c r="R71" s="46"/>
      <c r="V71" s="19"/>
      <c r="AV71"/>
      <c r="AW71"/>
      <c r="AX71"/>
      <c r="AY71"/>
      <c r="AZ71"/>
      <c r="BA71"/>
      <c r="BB71"/>
      <c r="BC71"/>
      <c r="BD71"/>
      <c r="BE71"/>
      <c r="BF71"/>
      <c r="BG71"/>
      <c r="BH71"/>
    </row>
    <row r="72" spans="1:71" ht="15" hidden="1" customHeight="1" x14ac:dyDescent="0.25">
      <c r="A72" s="47"/>
      <c r="B72" s="114"/>
      <c r="C72" s="114"/>
      <c r="D72" s="114"/>
      <c r="E72" s="114"/>
      <c r="F72" s="114"/>
      <c r="G72" s="114"/>
      <c r="H72" s="114"/>
      <c r="I72" s="245" t="s">
        <v>140</v>
      </c>
      <c r="J72" s="246"/>
      <c r="K72" s="246"/>
      <c r="L72" s="246"/>
      <c r="M72" s="246"/>
      <c r="N72" s="108"/>
      <c r="O72" s="108"/>
      <c r="P72" s="108"/>
      <c r="Q72" s="108"/>
      <c r="R72" s="46"/>
      <c r="V72" s="19"/>
      <c r="AV72"/>
      <c r="AW72"/>
      <c r="AX72"/>
      <c r="AY72"/>
      <c r="AZ72"/>
      <c r="BA72"/>
      <c r="BB72"/>
      <c r="BC72"/>
      <c r="BD72"/>
      <c r="BE72"/>
      <c r="BF72"/>
      <c r="BG72"/>
      <c r="BH72"/>
      <c r="BI72"/>
      <c r="BJ72"/>
      <c r="BK72"/>
      <c r="BL72"/>
      <c r="BM72"/>
      <c r="BN72"/>
      <c r="BO72"/>
      <c r="BP72"/>
      <c r="BQ72"/>
      <c r="BR72"/>
    </row>
    <row r="73" spans="1:71" ht="15" hidden="1" customHeight="1" x14ac:dyDescent="0.25">
      <c r="A73" s="48"/>
      <c r="B73" s="49" t="s">
        <v>135</v>
      </c>
      <c r="C73" s="50"/>
      <c r="D73" s="50"/>
      <c r="E73" s="50"/>
      <c r="F73" s="50"/>
      <c r="G73" s="50"/>
      <c r="H73" s="51"/>
      <c r="I73" s="52">
        <v>1</v>
      </c>
      <c r="J73" s="237" t="s">
        <v>141</v>
      </c>
      <c r="K73" s="237"/>
      <c r="L73" s="237"/>
      <c r="M73" s="237"/>
      <c r="N73" s="108"/>
      <c r="O73" s="108"/>
      <c r="P73" s="108"/>
      <c r="Q73" s="108"/>
      <c r="R73" s="46"/>
      <c r="AV73"/>
      <c r="AW73"/>
      <c r="AX73"/>
      <c r="AY73"/>
      <c r="AZ73"/>
      <c r="BA73"/>
      <c r="BB73"/>
      <c r="BC73"/>
      <c r="BD73"/>
      <c r="BE73"/>
      <c r="BF73"/>
      <c r="BG73"/>
      <c r="BH73"/>
      <c r="BI73"/>
      <c r="BJ73"/>
      <c r="BK73"/>
      <c r="BL73"/>
      <c r="BM73"/>
      <c r="BN73"/>
      <c r="BO73"/>
      <c r="BP73"/>
      <c r="BQ73"/>
      <c r="BR73"/>
    </row>
    <row r="74" spans="1:71" ht="15" hidden="1" customHeight="1" x14ac:dyDescent="0.25">
      <c r="A74" s="48"/>
      <c r="B74" s="50" t="s">
        <v>136</v>
      </c>
      <c r="C74" s="53">
        <f>C3</f>
        <v>2000</v>
      </c>
      <c r="D74" s="53" t="s">
        <v>0</v>
      </c>
      <c r="E74" s="50"/>
      <c r="F74" s="50"/>
      <c r="G74" s="50"/>
      <c r="H74" s="51"/>
      <c r="I74" s="52">
        <v>2</v>
      </c>
      <c r="J74" s="237" t="s">
        <v>142</v>
      </c>
      <c r="K74" s="237"/>
      <c r="L74" s="237"/>
      <c r="M74" s="237"/>
      <c r="N74" s="108"/>
      <c r="O74" s="108"/>
      <c r="P74" s="108"/>
      <c r="Q74" s="108"/>
      <c r="R74" s="46"/>
      <c r="AV74"/>
      <c r="AW74"/>
      <c r="AX74"/>
      <c r="AY74"/>
      <c r="AZ74"/>
      <c r="BA74"/>
      <c r="BB74"/>
      <c r="BC74"/>
      <c r="BD74"/>
      <c r="BE74"/>
      <c r="BF74"/>
      <c r="BG74"/>
      <c r="BH74"/>
      <c r="BI74"/>
      <c r="BJ74"/>
      <c r="BK74"/>
      <c r="BL74"/>
      <c r="BM74"/>
      <c r="BN74"/>
      <c r="BO74"/>
      <c r="BP74"/>
      <c r="BQ74"/>
      <c r="BR74"/>
    </row>
    <row r="75" spans="1:71" ht="18" hidden="1" customHeight="1" x14ac:dyDescent="0.35">
      <c r="A75" s="48"/>
      <c r="B75" s="50" t="s">
        <v>137</v>
      </c>
      <c r="C75" s="53">
        <f>C4</f>
        <v>800</v>
      </c>
      <c r="D75" s="53" t="s">
        <v>0</v>
      </c>
      <c r="E75" s="50"/>
      <c r="F75" s="50"/>
      <c r="G75" s="50"/>
      <c r="H75" s="51"/>
      <c r="I75" s="52">
        <v>3</v>
      </c>
      <c r="J75" s="237" t="s">
        <v>143</v>
      </c>
      <c r="K75" s="237"/>
      <c r="L75" s="237"/>
      <c r="M75" s="237"/>
      <c r="N75" s="108"/>
      <c r="O75" s="108"/>
      <c r="P75" s="108"/>
      <c r="Q75" s="108"/>
      <c r="R75" s="46"/>
      <c r="AV75"/>
      <c r="AW75"/>
      <c r="AX75"/>
      <c r="AY75"/>
      <c r="AZ75"/>
      <c r="BA75"/>
      <c r="BB75"/>
      <c r="BC75"/>
      <c r="BD75"/>
      <c r="BE75"/>
      <c r="BF75"/>
      <c r="BG75"/>
      <c r="BH75"/>
      <c r="BI75" s="12" t="s">
        <v>46</v>
      </c>
      <c r="BJ75"/>
      <c r="BK75"/>
      <c r="BL75"/>
      <c r="BM75"/>
      <c r="BN75"/>
      <c r="BO75"/>
      <c r="BP75"/>
      <c r="BQ75"/>
      <c r="BR75"/>
    </row>
    <row r="76" spans="1:71" ht="15" hidden="1" customHeight="1" x14ac:dyDescent="0.25">
      <c r="A76" s="48"/>
      <c r="B76" s="50" t="s">
        <v>138</v>
      </c>
      <c r="C76" s="53">
        <f>C5</f>
        <v>600</v>
      </c>
      <c r="D76" s="53" t="s">
        <v>0</v>
      </c>
      <c r="E76" s="50"/>
      <c r="F76" s="50"/>
      <c r="G76" s="50"/>
      <c r="H76" s="51"/>
      <c r="I76" s="52">
        <v>4</v>
      </c>
      <c r="J76" s="237" t="s">
        <v>144</v>
      </c>
      <c r="K76" s="237"/>
      <c r="L76" s="237"/>
      <c r="M76" s="237"/>
      <c r="N76" s="108"/>
      <c r="O76" s="108"/>
      <c r="P76" s="108"/>
      <c r="Q76" s="108"/>
      <c r="R76" s="46"/>
      <c r="AV76"/>
      <c r="AW76"/>
      <c r="AX76"/>
      <c r="AY76"/>
      <c r="AZ76"/>
      <c r="BA76"/>
      <c r="BB76"/>
      <c r="BC76"/>
      <c r="BD76"/>
      <c r="BE76"/>
      <c r="BF76"/>
      <c r="BG76"/>
      <c r="BH76"/>
      <c r="BI76" t="s">
        <v>36</v>
      </c>
      <c r="BJ76">
        <f>ROUNDUP((C74/1000)^1.35/(C75/1000*C76/1000),3)</f>
        <v>5.3109999999999999</v>
      </c>
      <c r="BK76"/>
      <c r="BL76"/>
      <c r="BM76"/>
      <c r="BN76"/>
      <c r="BO76"/>
      <c r="BP76"/>
      <c r="BQ76"/>
      <c r="BR76"/>
      <c r="BS76" s="3"/>
    </row>
    <row r="77" spans="1:71" ht="15" hidden="1" customHeight="1" x14ac:dyDescent="0.25">
      <c r="A77" s="48"/>
      <c r="B77" s="54" t="s">
        <v>139</v>
      </c>
      <c r="C77" s="53">
        <f>K3</f>
        <v>1</v>
      </c>
      <c r="D77" s="53"/>
      <c r="E77" s="50"/>
      <c r="F77" s="50"/>
      <c r="G77" s="50"/>
      <c r="H77" s="51"/>
      <c r="I77" s="52">
        <v>5</v>
      </c>
      <c r="J77" s="237" t="s">
        <v>145</v>
      </c>
      <c r="K77" s="237"/>
      <c r="L77" s="237"/>
      <c r="M77" s="237"/>
      <c r="N77" s="108"/>
      <c r="O77" s="108"/>
      <c r="P77" s="108"/>
      <c r="Q77" s="108"/>
      <c r="R77" s="46"/>
      <c r="AV77"/>
      <c r="AW77"/>
      <c r="AX77"/>
      <c r="AY77"/>
      <c r="AZ77"/>
      <c r="BA77"/>
      <c r="BB77"/>
      <c r="BC77"/>
      <c r="BD77"/>
      <c r="BE77"/>
      <c r="BF77"/>
      <c r="BG77"/>
      <c r="BH77"/>
      <c r="BI77"/>
      <c r="BJ77"/>
      <c r="BK77"/>
      <c r="BL77"/>
      <c r="BM77"/>
      <c r="BN77"/>
      <c r="BO77"/>
      <c r="BP77"/>
      <c r="BQ77"/>
      <c r="BR77"/>
      <c r="BS77" s="2"/>
    </row>
    <row r="78" spans="1:71" ht="15" hidden="1" customHeight="1" x14ac:dyDescent="0.25">
      <c r="A78" s="47"/>
      <c r="B78" s="115"/>
      <c r="C78" s="116"/>
      <c r="D78" s="116"/>
      <c r="E78" s="116"/>
      <c r="F78" s="116"/>
      <c r="G78" s="116"/>
      <c r="H78" s="116"/>
      <c r="I78" s="52">
        <v>6</v>
      </c>
      <c r="J78" s="237" t="s">
        <v>146</v>
      </c>
      <c r="K78" s="237"/>
      <c r="L78" s="237"/>
      <c r="M78" s="237"/>
      <c r="N78" s="108"/>
      <c r="O78" s="108"/>
      <c r="P78" s="108"/>
      <c r="Q78" s="108"/>
      <c r="R78" s="46"/>
      <c r="AV78"/>
      <c r="AW78"/>
      <c r="AX78"/>
      <c r="AY78"/>
      <c r="AZ78"/>
      <c r="BA78"/>
      <c r="BB78"/>
      <c r="BC78"/>
      <c r="BD78"/>
      <c r="BE78"/>
      <c r="BF78"/>
      <c r="BG78"/>
      <c r="BH78"/>
      <c r="BI78"/>
      <c r="BJ78"/>
      <c r="BK78"/>
      <c r="BL78"/>
      <c r="BM78"/>
      <c r="BN78"/>
      <c r="BO78"/>
      <c r="BP78"/>
      <c r="BQ78"/>
      <c r="BR78"/>
      <c r="BS78" s="3"/>
    </row>
    <row r="79" spans="1:71" ht="15" hidden="1" customHeight="1" x14ac:dyDescent="0.25">
      <c r="A79" s="47"/>
      <c r="B79" s="115"/>
      <c r="C79" s="116"/>
      <c r="D79" s="116"/>
      <c r="E79" s="116"/>
      <c r="F79" s="116"/>
      <c r="G79" s="116"/>
      <c r="H79" s="116"/>
      <c r="I79" s="52">
        <v>7</v>
      </c>
      <c r="J79" s="237" t="s">
        <v>147</v>
      </c>
      <c r="K79" s="237"/>
      <c r="L79" s="237"/>
      <c r="M79" s="237"/>
      <c r="N79" s="108"/>
      <c r="O79" s="108"/>
      <c r="P79" s="108"/>
      <c r="Q79" s="108"/>
      <c r="R79" s="46"/>
      <c r="AV79"/>
      <c r="AW79"/>
      <c r="AX79"/>
      <c r="AY79"/>
      <c r="AZ79"/>
      <c r="BA79"/>
      <c r="BB79"/>
      <c r="BC79"/>
      <c r="BD79"/>
      <c r="BE79"/>
      <c r="BF79"/>
      <c r="BG79"/>
      <c r="BH79"/>
      <c r="BI79" t="s">
        <v>39</v>
      </c>
      <c r="BJ79"/>
      <c r="BK79"/>
      <c r="BL79"/>
      <c r="BM79"/>
      <c r="BN79"/>
      <c r="BO79"/>
      <c r="BP79"/>
      <c r="BQ79"/>
      <c r="BR79"/>
    </row>
    <row r="80" spans="1:71" ht="15.75" hidden="1" thickBot="1" x14ac:dyDescent="0.3">
      <c r="A80" s="47"/>
      <c r="B80" s="115"/>
      <c r="C80" s="116"/>
      <c r="D80" s="116"/>
      <c r="E80" s="116"/>
      <c r="F80" s="116"/>
      <c r="G80" s="116"/>
      <c r="H80" s="116"/>
      <c r="I80" s="55"/>
      <c r="J80" s="56"/>
      <c r="K80" s="56"/>
      <c r="L80" s="57"/>
      <c r="M80" s="56"/>
      <c r="N80" s="56"/>
      <c r="O80" s="56"/>
      <c r="P80" s="56"/>
      <c r="Q80" s="56"/>
      <c r="R80" s="58"/>
      <c r="AV80"/>
      <c r="AW80"/>
      <c r="AX80"/>
      <c r="AY80"/>
      <c r="AZ80"/>
      <c r="BA80"/>
      <c r="BB80"/>
      <c r="BC80"/>
      <c r="BD80"/>
      <c r="BE80"/>
      <c r="BF80"/>
      <c r="BG80"/>
      <c r="BH80"/>
      <c r="BI80" t="s">
        <v>85</v>
      </c>
      <c r="BJ80"/>
      <c r="BK80"/>
      <c r="BL80"/>
      <c r="BM80"/>
      <c r="BN80"/>
      <c r="BO80"/>
      <c r="BP80"/>
      <c r="BQ80"/>
      <c r="BR80"/>
    </row>
    <row r="81" spans="1:70" ht="61.5" hidden="1" customHeight="1" x14ac:dyDescent="0.3">
      <c r="A81" s="59"/>
      <c r="B81" s="60" t="s">
        <v>128</v>
      </c>
      <c r="C81" s="61" t="s">
        <v>232</v>
      </c>
      <c r="D81" s="61"/>
      <c r="E81" s="62" t="s">
        <v>134</v>
      </c>
      <c r="F81" s="61"/>
      <c r="G81" s="63" t="s">
        <v>233</v>
      </c>
      <c r="H81" s="64"/>
      <c r="I81" s="116"/>
      <c r="J81" s="108"/>
      <c r="K81" s="108"/>
      <c r="L81" s="114"/>
      <c r="M81" s="108"/>
      <c r="N81" s="108"/>
      <c r="O81" s="108"/>
      <c r="P81" s="108"/>
      <c r="Q81" s="108"/>
      <c r="R81" s="46"/>
      <c r="AV81"/>
      <c r="AW81"/>
      <c r="AX81"/>
      <c r="AY81"/>
      <c r="AZ81"/>
      <c r="BA81"/>
      <c r="BB81"/>
      <c r="BC81"/>
      <c r="BD81"/>
      <c r="BE81"/>
      <c r="BF81"/>
      <c r="BG81"/>
      <c r="BH81"/>
      <c r="BI81"/>
      <c r="BJ81">
        <f>ROUNDUP(0.5832*G89^-0.786,3)</f>
        <v>0.14899999999999999</v>
      </c>
      <c r="BK81"/>
      <c r="BL81"/>
      <c r="BM81"/>
      <c r="BN81"/>
      <c r="BO81"/>
      <c r="BP81"/>
      <c r="BQ81"/>
      <c r="BR81"/>
    </row>
    <row r="82" spans="1:70" hidden="1" x14ac:dyDescent="0.25">
      <c r="A82" s="65"/>
      <c r="B82" s="53"/>
      <c r="C82" s="66" t="s">
        <v>35</v>
      </c>
      <c r="D82" s="39"/>
      <c r="E82" s="67"/>
      <c r="F82" s="39"/>
      <c r="G82" s="67" t="s">
        <v>35</v>
      </c>
      <c r="H82" s="68"/>
      <c r="I82" s="116"/>
      <c r="J82" s="108"/>
      <c r="K82" s="108"/>
      <c r="L82" s="114"/>
      <c r="M82" s="108"/>
      <c r="N82" s="108"/>
      <c r="O82" s="108"/>
      <c r="P82" s="108"/>
      <c r="Q82" s="108"/>
      <c r="R82" s="46"/>
      <c r="AV82"/>
      <c r="AW82"/>
      <c r="AX82"/>
      <c r="AY82"/>
      <c r="AZ82"/>
      <c r="BA82"/>
      <c r="BB82"/>
      <c r="BC82"/>
      <c r="BD82"/>
      <c r="BE82"/>
      <c r="BF82"/>
      <c r="BG82"/>
      <c r="BH82"/>
      <c r="BI82"/>
      <c r="BJ82"/>
      <c r="BK82"/>
      <c r="BL82"/>
      <c r="BM82"/>
      <c r="BN82"/>
      <c r="BO82"/>
      <c r="BP82"/>
      <c r="BQ82"/>
      <c r="BR82"/>
    </row>
    <row r="83" spans="1:70" hidden="1" x14ac:dyDescent="0.25">
      <c r="A83" s="65"/>
      <c r="B83" s="53" t="s">
        <v>129</v>
      </c>
      <c r="C83" s="69">
        <f>ROUNDDOWN((C75/1000*C76/1000),3)</f>
        <v>0.48</v>
      </c>
      <c r="D83" s="39"/>
      <c r="E83" s="67">
        <f>IF($C$77&gt;0,IF($C$77=7,0.7,1.4),)</f>
        <v>1.4</v>
      </c>
      <c r="F83" s="39"/>
      <c r="G83" s="70">
        <f>ROUNDUP(C83*E83,3)</f>
        <v>0.67200000000000004</v>
      </c>
      <c r="H83" s="68"/>
      <c r="I83" s="116"/>
      <c r="J83" s="108"/>
      <c r="K83" s="108"/>
      <c r="L83" s="114"/>
      <c r="M83" s="108"/>
      <c r="N83" s="108"/>
      <c r="O83" s="108"/>
      <c r="P83" s="108"/>
      <c r="Q83" s="108"/>
      <c r="R83" s="46"/>
      <c r="AV83"/>
      <c r="AW83"/>
      <c r="AX83"/>
      <c r="AY83"/>
      <c r="AZ83"/>
      <c r="BA83"/>
      <c r="BB83"/>
      <c r="BC83"/>
      <c r="BD83"/>
      <c r="BE83"/>
      <c r="BF83"/>
      <c r="BG83"/>
      <c r="BH83"/>
      <c r="BI83"/>
      <c r="BJ83"/>
      <c r="BK83"/>
      <c r="BL83"/>
      <c r="BM83"/>
      <c r="BN83"/>
      <c r="BO83"/>
      <c r="BP83"/>
      <c r="BQ83"/>
      <c r="BR83"/>
    </row>
    <row r="84" spans="1:70" hidden="1" x14ac:dyDescent="0.25">
      <c r="A84" s="65"/>
      <c r="B84" s="53" t="s">
        <v>130</v>
      </c>
      <c r="C84" s="69">
        <f>ROUNDDOWN((C74/1000*C75/1000),3)</f>
        <v>1.6</v>
      </c>
      <c r="D84" s="39"/>
      <c r="E84" s="67">
        <f>IF($C$77&gt;0,0.9,)</f>
        <v>0.9</v>
      </c>
      <c r="F84" s="39"/>
      <c r="G84" s="70">
        <f>ROUNDUP(C84*E84,3)</f>
        <v>1.44</v>
      </c>
      <c r="H84" s="68"/>
      <c r="I84" s="116"/>
      <c r="J84" s="108"/>
      <c r="K84" s="108"/>
      <c r="L84" s="114"/>
      <c r="M84" s="108"/>
      <c r="N84" s="108"/>
      <c r="O84" s="108"/>
      <c r="P84" s="108"/>
      <c r="Q84" s="108"/>
      <c r="R84" s="46"/>
      <c r="AV84"/>
      <c r="AW84"/>
      <c r="AX84"/>
      <c r="AY84"/>
      <c r="AZ84"/>
      <c r="BA84"/>
      <c r="BB84"/>
      <c r="BC84"/>
      <c r="BD84"/>
      <c r="BE84"/>
      <c r="BF84"/>
      <c r="BG84"/>
      <c r="BH84"/>
      <c r="BI84" t="s">
        <v>45</v>
      </c>
      <c r="BJ84"/>
      <c r="BK84"/>
      <c r="BL84"/>
      <c r="BM84"/>
      <c r="BN84"/>
      <c r="BO84"/>
      <c r="BP84"/>
      <c r="BQ84"/>
      <c r="BR84"/>
    </row>
    <row r="85" spans="1:70" hidden="1" x14ac:dyDescent="0.25">
      <c r="A85" s="65"/>
      <c r="B85" s="53" t="s">
        <v>131</v>
      </c>
      <c r="C85" s="69">
        <f>ROUNDDOWN((C74/1000*C75/1000),3)</f>
        <v>1.6</v>
      </c>
      <c r="D85" s="39"/>
      <c r="E85" s="67">
        <f>IF($C$77&gt;0,IF(OR($C$77=2,$C$77=4,$C$77=6,$C$77=7),0.5,0.9),)</f>
        <v>0.9</v>
      </c>
      <c r="F85" s="39"/>
      <c r="G85" s="70">
        <f>ROUNDUP(C85*E85,3)</f>
        <v>1.44</v>
      </c>
      <c r="H85" s="68"/>
      <c r="I85" s="116"/>
      <c r="J85" s="108"/>
      <c r="K85" s="108"/>
      <c r="L85" s="114"/>
      <c r="M85" s="108"/>
      <c r="N85" s="108"/>
      <c r="O85" s="108"/>
      <c r="P85" s="108"/>
      <c r="Q85" s="108"/>
      <c r="R85" s="46"/>
      <c r="AV85"/>
      <c r="AW85"/>
      <c r="AX85"/>
      <c r="AY85"/>
      <c r="AZ85"/>
      <c r="BA85"/>
      <c r="BB85"/>
      <c r="BC85"/>
      <c r="BD85"/>
      <c r="BE85"/>
      <c r="BF85"/>
      <c r="BG85"/>
      <c r="BH85"/>
      <c r="BI85"/>
      <c r="BJ85"/>
      <c r="BK85"/>
      <c r="BL85"/>
      <c r="BM85"/>
      <c r="BN85"/>
      <c r="BO85"/>
      <c r="BP85"/>
      <c r="BQ85"/>
      <c r="BR85"/>
    </row>
    <row r="86" spans="1:70" hidden="1" x14ac:dyDescent="0.25">
      <c r="A86" s="65"/>
      <c r="B86" s="53" t="s">
        <v>132</v>
      </c>
      <c r="C86" s="69">
        <f>ROUNDDOWN((C74/1000*C76/1000),3)</f>
        <v>1.2</v>
      </c>
      <c r="D86" s="39"/>
      <c r="E86" s="67">
        <f>IF($C$77&gt;0,IF(OR($C$77=3,$C$77=4,$C$77=5,$C$77=6,$C$77=7,),0.5,0.9),)</f>
        <v>0.9</v>
      </c>
      <c r="F86" s="39"/>
      <c r="G86" s="70">
        <f>ROUNDUP(C86*E86,3)</f>
        <v>1.08</v>
      </c>
      <c r="H86" s="68"/>
      <c r="I86" s="116"/>
      <c r="J86" s="108"/>
      <c r="K86" s="108"/>
      <c r="L86" s="114"/>
      <c r="M86" s="108"/>
      <c r="N86" s="108"/>
      <c r="O86" s="108"/>
      <c r="P86" s="108"/>
      <c r="Q86" s="108"/>
      <c r="R86" s="46"/>
      <c r="AH86" s="232" t="s">
        <v>2</v>
      </c>
      <c r="AI86" s="232"/>
      <c r="AJ86" s="233"/>
      <c r="AK86" s="233"/>
      <c r="AL86" s="233"/>
      <c r="AM86" s="233"/>
      <c r="AN86" s="234" t="s">
        <v>6</v>
      </c>
      <c r="AO86" s="235"/>
      <c r="BI86" t="s">
        <v>40</v>
      </c>
      <c r="BJ86">
        <f>ROUNDUP(0.0323*$O$5+1.2213,3)</f>
        <v>1.222</v>
      </c>
      <c r="BK86"/>
      <c r="BL86"/>
      <c r="BM86"/>
      <c r="BN86"/>
      <c r="BO86"/>
      <c r="BP86"/>
      <c r="BQ86"/>
      <c r="BR86"/>
    </row>
    <row r="87" spans="1:70" ht="15.75" hidden="1" thickBot="1" x14ac:dyDescent="0.3">
      <c r="A87" s="71"/>
      <c r="B87" s="72" t="s">
        <v>133</v>
      </c>
      <c r="C87" s="73">
        <f>ROUNDDOWN((C74/1000*C76/1000),3)</f>
        <v>1.2</v>
      </c>
      <c r="D87" s="74"/>
      <c r="E87" s="75">
        <f>IF($C$77&gt;0,IF(OR($C$77=5,$C$77=6,$C$77=7,),0.5,0.9),)</f>
        <v>0.9</v>
      </c>
      <c r="F87" s="74"/>
      <c r="G87" s="76">
        <f>ROUNDUP(C87*E87,3)</f>
        <v>1.08</v>
      </c>
      <c r="H87" s="77"/>
      <c r="I87" s="116"/>
      <c r="J87" s="108"/>
      <c r="K87" s="108"/>
      <c r="L87" s="114"/>
      <c r="M87" s="108"/>
      <c r="N87" s="108"/>
      <c r="O87" s="108"/>
      <c r="P87" s="108"/>
      <c r="Q87" s="108"/>
      <c r="R87" s="46"/>
      <c r="AH87" s="232"/>
      <c r="AI87" s="232"/>
      <c r="AJ87" s="230" t="s">
        <v>3</v>
      </c>
      <c r="AK87" s="230"/>
      <c r="AL87" s="230" t="s">
        <v>4</v>
      </c>
      <c r="AM87" s="230"/>
      <c r="AN87" s="230" t="s">
        <v>5</v>
      </c>
      <c r="AO87" s="230"/>
      <c r="BI87" t="s">
        <v>41</v>
      </c>
      <c r="BJ87">
        <f>ROUNDUP(0.0322*$O$5+1.206,3)</f>
        <v>1.206</v>
      </c>
      <c r="BK87"/>
      <c r="BL87"/>
      <c r="BM87"/>
      <c r="BN87"/>
      <c r="BO87"/>
      <c r="BP87"/>
      <c r="BQ87"/>
      <c r="BR87"/>
    </row>
    <row r="88" spans="1:70" ht="48" hidden="1" x14ac:dyDescent="0.25">
      <c r="A88" s="78"/>
      <c r="B88" s="79"/>
      <c r="C88" s="79"/>
      <c r="D88" s="80"/>
      <c r="E88" s="81"/>
      <c r="F88" s="79"/>
      <c r="G88" s="79"/>
      <c r="H88" s="82"/>
      <c r="I88" s="116"/>
      <c r="J88" s="108"/>
      <c r="K88" s="108"/>
      <c r="L88" s="114"/>
      <c r="M88" s="108"/>
      <c r="N88" s="108"/>
      <c r="O88" s="108"/>
      <c r="P88" s="108"/>
      <c r="Q88" s="108"/>
      <c r="R88" s="46"/>
      <c r="AH88" s="21" t="s">
        <v>8</v>
      </c>
      <c r="AI88" s="21" t="s">
        <v>9</v>
      </c>
      <c r="AJ88" s="21" t="s">
        <v>11</v>
      </c>
      <c r="AK88" s="21" t="s">
        <v>12</v>
      </c>
      <c r="AL88" s="21" t="s">
        <v>11</v>
      </c>
      <c r="AM88" s="21" t="s">
        <v>12</v>
      </c>
      <c r="AN88" s="21" t="s">
        <v>11</v>
      </c>
      <c r="AO88" s="21" t="s">
        <v>12</v>
      </c>
      <c r="BI88" t="s">
        <v>42</v>
      </c>
      <c r="BJ88">
        <f>ROUNDUP(0.0327*$O$5+1.1854,3)</f>
        <v>1.1859999999999999</v>
      </c>
      <c r="BK88"/>
      <c r="BL88"/>
      <c r="BM88"/>
      <c r="BN88"/>
      <c r="BO88"/>
      <c r="BP88"/>
      <c r="BQ88"/>
      <c r="BR88"/>
    </row>
    <row r="89" spans="1:70" ht="54" hidden="1" customHeight="1" thickBot="1" x14ac:dyDescent="0.35">
      <c r="A89" s="83"/>
      <c r="B89" s="84"/>
      <c r="C89" s="84"/>
      <c r="D89" s="220" t="s">
        <v>234</v>
      </c>
      <c r="E89" s="220"/>
      <c r="F89" s="85"/>
      <c r="G89" s="86">
        <f>SUM(G83:G88)</f>
        <v>5.7119999999999997</v>
      </c>
      <c r="H89" s="87" t="s">
        <v>35</v>
      </c>
      <c r="I89" s="116"/>
      <c r="J89" s="108"/>
      <c r="K89" s="108"/>
      <c r="L89" s="114"/>
      <c r="M89" s="108"/>
      <c r="N89" s="108"/>
      <c r="O89" s="108"/>
      <c r="P89" s="108"/>
      <c r="Q89" s="108"/>
      <c r="R89" s="46"/>
      <c r="AH89" s="21" t="s">
        <v>7</v>
      </c>
      <c r="AI89" s="21" t="s">
        <v>10</v>
      </c>
      <c r="AJ89" s="21" t="s">
        <v>1</v>
      </c>
      <c r="AK89" s="21" t="s">
        <v>13</v>
      </c>
      <c r="AL89" s="21" t="s">
        <v>1</v>
      </c>
      <c r="AM89" s="21" t="s">
        <v>13</v>
      </c>
      <c r="AN89" s="21" t="s">
        <v>1</v>
      </c>
      <c r="AO89" s="21" t="s">
        <v>13</v>
      </c>
      <c r="BI89" t="s">
        <v>43</v>
      </c>
      <c r="BJ89">
        <f>ROUNDUP(0.0323*$O$5+1.1638,3)</f>
        <v>1.1639999999999999</v>
      </c>
      <c r="BK89"/>
      <c r="BL89"/>
      <c r="BM89"/>
      <c r="BN89"/>
      <c r="BO89"/>
      <c r="BP89"/>
      <c r="BQ89"/>
      <c r="BR89"/>
    </row>
    <row r="90" spans="1:70" hidden="1" x14ac:dyDescent="0.25">
      <c r="A90" s="88"/>
      <c r="B90" s="89"/>
      <c r="C90" s="89"/>
      <c r="D90" s="90"/>
      <c r="E90" s="90"/>
      <c r="F90" s="90"/>
      <c r="G90" s="90"/>
      <c r="H90" s="91"/>
      <c r="I90" s="108"/>
      <c r="J90" s="108"/>
      <c r="K90" s="108"/>
      <c r="L90" s="114"/>
      <c r="M90" s="108"/>
      <c r="N90" s="108"/>
      <c r="O90" s="108"/>
      <c r="P90" s="108"/>
      <c r="Q90" s="108"/>
      <c r="R90" s="46"/>
      <c r="AH90" s="22">
        <v>1.5</v>
      </c>
      <c r="AI90" s="22">
        <v>12.1</v>
      </c>
      <c r="AJ90" s="22">
        <v>8</v>
      </c>
      <c r="AK90" s="22">
        <v>0.8</v>
      </c>
      <c r="AL90" s="22">
        <v>9</v>
      </c>
      <c r="AM90" s="22">
        <v>1.3</v>
      </c>
      <c r="AN90" s="22">
        <v>15</v>
      </c>
      <c r="AO90" s="22">
        <v>3.2</v>
      </c>
      <c r="BI90" t="s">
        <v>44</v>
      </c>
      <c r="BJ90">
        <f>ROUNDUP(0.0325*$O$5+1.1212,3)</f>
        <v>1.1219999999999999</v>
      </c>
      <c r="BK90"/>
      <c r="BL90"/>
      <c r="BM90"/>
      <c r="BN90"/>
      <c r="BO90"/>
      <c r="BP90"/>
      <c r="BQ90"/>
      <c r="BR90"/>
    </row>
    <row r="91" spans="1:70" ht="16.5" hidden="1" customHeight="1" x14ac:dyDescent="0.3">
      <c r="A91" s="217" t="s">
        <v>235</v>
      </c>
      <c r="B91" s="218"/>
      <c r="C91" s="218"/>
      <c r="D91" s="218"/>
      <c r="E91" s="218"/>
      <c r="F91" s="218"/>
      <c r="G91" s="218"/>
      <c r="H91" s="219"/>
      <c r="I91" s="108"/>
      <c r="J91" s="116"/>
      <c r="K91" s="116"/>
      <c r="L91" s="114"/>
      <c r="M91" s="108"/>
      <c r="N91" s="108"/>
      <c r="O91" s="108"/>
      <c r="P91" s="108"/>
      <c r="Q91" s="108"/>
      <c r="R91" s="46"/>
      <c r="AH91" s="22">
        <v>2.5</v>
      </c>
      <c r="AI91" s="22">
        <v>7.41</v>
      </c>
      <c r="AJ91" s="22">
        <v>10</v>
      </c>
      <c r="AK91" s="22">
        <v>0.9</v>
      </c>
      <c r="AL91" s="22">
        <v>13</v>
      </c>
      <c r="AM91" s="22">
        <v>1.5</v>
      </c>
      <c r="AN91" s="22">
        <v>21</v>
      </c>
      <c r="AO91" s="22">
        <v>3.7</v>
      </c>
      <c r="BI91"/>
      <c r="BJ91"/>
      <c r="BK91"/>
      <c r="BL91"/>
      <c r="BM91"/>
      <c r="BN91"/>
      <c r="BO91"/>
      <c r="BP91"/>
      <c r="BQ91"/>
      <c r="BR91"/>
    </row>
    <row r="92" spans="1:70" hidden="1" x14ac:dyDescent="0.25">
      <c r="A92" s="92"/>
      <c r="B92" s="93"/>
      <c r="C92" s="93"/>
      <c r="D92" s="93"/>
      <c r="E92" s="93"/>
      <c r="F92" s="93"/>
      <c r="G92" s="93"/>
      <c r="H92" s="94"/>
      <c r="I92" s="108"/>
      <c r="J92" s="108"/>
      <c r="K92" s="108"/>
      <c r="L92" s="114"/>
      <c r="M92" s="108"/>
      <c r="N92" s="108"/>
      <c r="O92" s="108"/>
      <c r="P92" s="108"/>
      <c r="Q92" s="108"/>
      <c r="R92" s="46"/>
      <c r="AH92" s="22">
        <v>4</v>
      </c>
      <c r="AI92" s="22">
        <v>4.6100000000000003</v>
      </c>
      <c r="AJ92" s="22">
        <v>14</v>
      </c>
      <c r="AK92" s="22">
        <v>1</v>
      </c>
      <c r="AL92" s="22">
        <v>18</v>
      </c>
      <c r="AM92" s="22">
        <v>1.7</v>
      </c>
      <c r="AN92" s="22">
        <v>28</v>
      </c>
      <c r="AO92" s="22">
        <v>4.2</v>
      </c>
      <c r="BI92"/>
      <c r="BJ92">
        <f>IF(C77=1,BJ86,IF(OR(C77=2,C77=5),BJ88,IF(C77=3,BJ87,IF(OR(C77=4,C77=7),BJ89,IF(C77=6,BJ90,"")))))</f>
        <v>1.222</v>
      </c>
      <c r="BK92"/>
      <c r="BL92"/>
      <c r="BM92"/>
      <c r="BN92"/>
      <c r="BO92"/>
      <c r="BP92"/>
      <c r="BQ92"/>
      <c r="BR92"/>
    </row>
    <row r="93" spans="1:70" hidden="1" x14ac:dyDescent="0.25">
      <c r="A93" s="48"/>
      <c r="B93" s="95" t="s">
        <v>52</v>
      </c>
      <c r="C93" s="50"/>
      <c r="D93" s="96"/>
      <c r="E93" s="50"/>
      <c r="F93" s="50" t="s">
        <v>121</v>
      </c>
      <c r="G93" s="93"/>
      <c r="H93" s="94"/>
      <c r="I93" s="116"/>
      <c r="J93" s="116"/>
      <c r="K93" s="116"/>
      <c r="L93" s="114"/>
      <c r="M93" s="108"/>
      <c r="N93" s="108"/>
      <c r="O93" s="108"/>
      <c r="P93" s="108"/>
      <c r="Q93" s="108"/>
      <c r="R93" s="46"/>
      <c r="AH93" s="22">
        <v>6</v>
      </c>
      <c r="AI93" s="22">
        <v>3.08</v>
      </c>
      <c r="AJ93" s="22">
        <v>18</v>
      </c>
      <c r="AK93" s="22">
        <v>1.1000000000000001</v>
      </c>
      <c r="AL93" s="22">
        <v>23</v>
      </c>
      <c r="AM93" s="22">
        <v>2</v>
      </c>
      <c r="AN93" s="22">
        <v>36</v>
      </c>
      <c r="AO93" s="22">
        <v>4.7</v>
      </c>
      <c r="BI93"/>
      <c r="BJ93"/>
      <c r="BK93"/>
      <c r="BL93"/>
      <c r="BM93"/>
      <c r="BN93"/>
      <c r="BO93"/>
      <c r="BP93"/>
      <c r="BQ93"/>
      <c r="BR93"/>
    </row>
    <row r="94" spans="1:70" ht="15.75" hidden="1" thickBot="1" x14ac:dyDescent="0.3">
      <c r="A94" s="97"/>
      <c r="B94" s="98" t="s">
        <v>36</v>
      </c>
      <c r="C94" s="99">
        <f>IF($G$89&gt;1.25,BJ76,"")</f>
        <v>5.3109999999999999</v>
      </c>
      <c r="D94" s="100"/>
      <c r="E94" s="98"/>
      <c r="F94" s="98" t="s">
        <v>37</v>
      </c>
      <c r="G94" s="101" t="str">
        <f>IF($G$89&lt;=1.25,BI150,"")</f>
        <v/>
      </c>
      <c r="H94" s="102"/>
      <c r="I94" s="116"/>
      <c r="J94" s="116"/>
      <c r="K94" s="116"/>
      <c r="L94" s="114"/>
      <c r="M94" s="108"/>
      <c r="N94" s="108"/>
      <c r="O94" s="108"/>
      <c r="P94" s="108"/>
      <c r="Q94" s="108"/>
      <c r="R94" s="46"/>
      <c r="AH94" s="22">
        <v>10</v>
      </c>
      <c r="AI94" s="22">
        <v>1.83</v>
      </c>
      <c r="AJ94" s="22">
        <v>24</v>
      </c>
      <c r="AK94" s="22">
        <v>1.3</v>
      </c>
      <c r="AL94" s="22">
        <v>32</v>
      </c>
      <c r="AM94" s="22">
        <v>2.2999999999999998</v>
      </c>
      <c r="AN94" s="22">
        <v>50</v>
      </c>
      <c r="AO94" s="22">
        <v>5.4</v>
      </c>
      <c r="BI94"/>
      <c r="BJ94"/>
      <c r="BK94"/>
      <c r="BL94"/>
      <c r="BM94"/>
      <c r="BN94"/>
      <c r="BO94"/>
      <c r="BP94"/>
      <c r="BQ94"/>
      <c r="BR94"/>
    </row>
    <row r="95" spans="1:70" hidden="1" x14ac:dyDescent="0.25">
      <c r="A95" s="88"/>
      <c r="B95" s="103" t="s">
        <v>122</v>
      </c>
      <c r="C95" s="104"/>
      <c r="D95" s="104"/>
      <c r="E95" s="104"/>
      <c r="F95" s="104"/>
      <c r="G95" s="90"/>
      <c r="H95" s="91"/>
      <c r="I95" s="116"/>
      <c r="J95" s="116"/>
      <c r="K95" s="116"/>
      <c r="L95" s="114"/>
      <c r="M95" s="108"/>
      <c r="N95" s="108"/>
      <c r="O95" s="108"/>
      <c r="P95" s="108"/>
      <c r="Q95" s="108"/>
      <c r="R95" s="46"/>
      <c r="AH95" s="22">
        <v>16</v>
      </c>
      <c r="AI95" s="22">
        <v>1.1499999999999999</v>
      </c>
      <c r="AJ95" s="22">
        <v>33</v>
      </c>
      <c r="AK95" s="22">
        <v>1.5</v>
      </c>
      <c r="AL95" s="22">
        <v>44</v>
      </c>
      <c r="AM95" s="22">
        <v>2.7</v>
      </c>
      <c r="AN95" s="22">
        <v>67</v>
      </c>
      <c r="AO95" s="22">
        <v>6.2</v>
      </c>
      <c r="BI95"/>
      <c r="BJ95"/>
      <c r="BK95"/>
      <c r="BL95"/>
      <c r="BM95"/>
      <c r="BN95"/>
      <c r="BO95"/>
      <c r="BP95"/>
      <c r="BQ95"/>
      <c r="BR95"/>
    </row>
    <row r="96" spans="1:70" hidden="1" x14ac:dyDescent="0.25">
      <c r="A96" s="48"/>
      <c r="B96" s="50" t="s">
        <v>123</v>
      </c>
      <c r="C96" s="50"/>
      <c r="D96" s="50"/>
      <c r="E96" s="53">
        <f>K5</f>
        <v>0</v>
      </c>
      <c r="F96" s="53" t="s">
        <v>84</v>
      </c>
      <c r="G96" s="93"/>
      <c r="H96" s="94"/>
      <c r="I96" s="116"/>
      <c r="J96" s="116"/>
      <c r="K96" s="116"/>
      <c r="L96" s="114"/>
      <c r="M96" s="108"/>
      <c r="N96" s="108"/>
      <c r="O96" s="108"/>
      <c r="P96" s="108"/>
      <c r="Q96" s="108"/>
      <c r="R96" s="46"/>
      <c r="AH96" s="22">
        <v>25</v>
      </c>
      <c r="AI96" s="22">
        <v>0.72699999999999998</v>
      </c>
      <c r="AJ96" s="22">
        <v>43</v>
      </c>
      <c r="AK96" s="22">
        <v>1.6</v>
      </c>
      <c r="AL96" s="22">
        <v>59</v>
      </c>
      <c r="AM96" s="22">
        <v>3</v>
      </c>
      <c r="AN96" s="22">
        <v>89</v>
      </c>
      <c r="AO96" s="22">
        <v>6.9</v>
      </c>
      <c r="BI96"/>
      <c r="BJ96"/>
      <c r="BK96"/>
      <c r="BL96"/>
      <c r="BM96"/>
      <c r="BN96"/>
      <c r="BO96"/>
      <c r="BP96"/>
      <c r="BQ96"/>
      <c r="BR96"/>
    </row>
    <row r="97" spans="1:70" hidden="1" x14ac:dyDescent="0.25">
      <c r="A97" s="48"/>
      <c r="B97" s="50" t="s">
        <v>124</v>
      </c>
      <c r="C97" s="50"/>
      <c r="D97" s="50"/>
      <c r="E97" s="53">
        <f>IF(G89&gt;0,IF(G89&gt;1.25,IF(E96&gt;0,BK124,BJ81),BJ153),"")</f>
        <v>0.14899999999999999</v>
      </c>
      <c r="F97" s="53"/>
      <c r="G97" s="93"/>
      <c r="H97" s="94"/>
      <c r="I97" s="116"/>
      <c r="J97" s="116"/>
      <c r="K97" s="116"/>
      <c r="L97" s="114"/>
      <c r="M97" s="108"/>
      <c r="N97" s="108"/>
      <c r="O97" s="108"/>
      <c r="P97" s="108"/>
      <c r="Q97" s="108"/>
      <c r="R97" s="46"/>
      <c r="AH97" s="22">
        <v>35</v>
      </c>
      <c r="AI97" s="22">
        <v>0.52400000000000002</v>
      </c>
      <c r="AJ97" s="22">
        <v>54</v>
      </c>
      <c r="AK97" s="22">
        <v>1.8</v>
      </c>
      <c r="AL97" s="22">
        <v>74</v>
      </c>
      <c r="AM97" s="22">
        <v>3.4</v>
      </c>
      <c r="AN97" s="22">
        <v>110</v>
      </c>
      <c r="AO97" s="22">
        <v>7.7</v>
      </c>
      <c r="BI97" t="s">
        <v>55</v>
      </c>
      <c r="BJ97"/>
      <c r="BK97"/>
      <c r="BL97"/>
      <c r="BM97"/>
      <c r="BN97"/>
      <c r="BO97"/>
      <c r="BP97"/>
      <c r="BQ97"/>
      <c r="BR97"/>
    </row>
    <row r="98" spans="1:70" hidden="1" x14ac:dyDescent="0.25">
      <c r="A98" s="48"/>
      <c r="B98" s="50" t="s">
        <v>125</v>
      </c>
      <c r="C98" s="50"/>
      <c r="D98" s="50"/>
      <c r="E98" s="105">
        <f>IF($K$5&gt;0,IF($Q$5=1,1.05,IF($Q$5=2,1.1,IF('Calculation method up to 1600 A'!$Q$5=3,1.15,1))),IF('Calculation method up to 1600 A'!$Q$5=1,1.05,IF('Calculation method up to 1600 A'!$Q$5=2,1.15,IF('Calculation method up to 1600 A'!$Q$5=3,1.3,1))))</f>
        <v>1</v>
      </c>
      <c r="F98" s="53"/>
      <c r="G98" s="93"/>
      <c r="H98" s="94"/>
      <c r="I98" s="116"/>
      <c r="J98" s="116"/>
      <c r="K98" s="116"/>
      <c r="L98" s="114"/>
      <c r="M98" s="108"/>
      <c r="N98" s="108"/>
      <c r="O98" s="108"/>
      <c r="P98" s="108"/>
      <c r="Q98" s="108"/>
      <c r="R98" s="46"/>
      <c r="AH98" s="22">
        <v>50</v>
      </c>
      <c r="AI98" s="22">
        <v>0.38700000000000001</v>
      </c>
      <c r="AJ98" s="22">
        <v>65</v>
      </c>
      <c r="AK98" s="22">
        <v>2</v>
      </c>
      <c r="AL98" s="22">
        <v>90</v>
      </c>
      <c r="AM98" s="22">
        <v>3.7</v>
      </c>
      <c r="AN98" s="22">
        <v>134</v>
      </c>
      <c r="AO98" s="22">
        <v>8.3000000000000007</v>
      </c>
      <c r="BI98"/>
      <c r="BJ98" s="236" t="s">
        <v>69</v>
      </c>
      <c r="BK98" s="236"/>
      <c r="BL98" s="236"/>
      <c r="BM98" s="236"/>
      <c r="BN98"/>
      <c r="BO98"/>
      <c r="BP98"/>
      <c r="BQ98"/>
      <c r="BR98"/>
    </row>
    <row r="99" spans="1:70" hidden="1" x14ac:dyDescent="0.25">
      <c r="A99" s="48"/>
      <c r="B99" s="50" t="s">
        <v>126</v>
      </c>
      <c r="C99" s="50"/>
      <c r="D99" s="50"/>
      <c r="E99" s="53">
        <f>$R$62</f>
        <v>181.88</v>
      </c>
      <c r="F99" s="53" t="s">
        <v>53</v>
      </c>
      <c r="G99" s="93"/>
      <c r="H99" s="94"/>
      <c r="I99" s="116"/>
      <c r="J99" s="116"/>
      <c r="K99" s="116" t="s">
        <v>116</v>
      </c>
      <c r="L99" s="116">
        <f>E104</f>
        <v>12</v>
      </c>
      <c r="M99" s="117">
        <v>1</v>
      </c>
      <c r="N99" s="116"/>
      <c r="O99" s="108"/>
      <c r="P99" s="108"/>
      <c r="Q99" s="108"/>
      <c r="R99" s="46"/>
      <c r="AH99" s="22">
        <v>70</v>
      </c>
      <c r="AI99" s="22">
        <v>0.26800000000000002</v>
      </c>
      <c r="AJ99" s="22">
        <v>83</v>
      </c>
      <c r="AK99" s="22">
        <v>2.2000000000000002</v>
      </c>
      <c r="AL99" s="22">
        <v>116</v>
      </c>
      <c r="AM99" s="22">
        <v>4.3</v>
      </c>
      <c r="AN99" s="22">
        <v>171</v>
      </c>
      <c r="AO99" s="22">
        <v>9.4</v>
      </c>
      <c r="BI99"/>
      <c r="BJ99" t="s">
        <v>1</v>
      </c>
      <c r="BK99" t="s">
        <v>70</v>
      </c>
      <c r="BL99"/>
      <c r="BM99" s="11">
        <f>G89</f>
        <v>5.7119999999999997</v>
      </c>
      <c r="BN99">
        <f>IF(BM99&lt;1,1,BM99)</f>
        <v>5.7119999999999997</v>
      </c>
      <c r="BO99" t="s">
        <v>71</v>
      </c>
      <c r="BP99"/>
      <c r="BQ99"/>
      <c r="BR99"/>
    </row>
    <row r="100" spans="1:70" ht="18" hidden="1" x14ac:dyDescent="0.35">
      <c r="A100" s="48"/>
      <c r="B100" s="50" t="s">
        <v>236</v>
      </c>
      <c r="C100" s="50"/>
      <c r="D100" s="50"/>
      <c r="E100" s="53">
        <f>IF(G89&gt;1.25,IF(E96&gt;0,0.715,0.804),0.804)</f>
        <v>0.80400000000000005</v>
      </c>
      <c r="F100" s="53"/>
      <c r="G100" s="93"/>
      <c r="H100" s="94"/>
      <c r="I100" s="116"/>
      <c r="J100" s="116"/>
      <c r="K100" s="116" t="s">
        <v>117</v>
      </c>
      <c r="L100" s="116">
        <f>ROUND(((E103-1)/2+1)*E102,1)</f>
        <v>10.9</v>
      </c>
      <c r="M100" s="117">
        <v>0.75</v>
      </c>
      <c r="N100" s="116"/>
      <c r="O100" s="108"/>
      <c r="P100" s="108"/>
      <c r="Q100" s="108"/>
      <c r="R100" s="46"/>
      <c r="AH100" s="22">
        <v>95</v>
      </c>
      <c r="AI100" s="22">
        <v>0.193</v>
      </c>
      <c r="AJ100" s="22">
        <v>101</v>
      </c>
      <c r="AK100" s="22">
        <v>2.4</v>
      </c>
      <c r="AL100" s="22">
        <v>142</v>
      </c>
      <c r="AM100" s="22">
        <v>4.7</v>
      </c>
      <c r="AN100" s="22">
        <v>208</v>
      </c>
      <c r="AO100" s="22">
        <v>10</v>
      </c>
      <c r="BI100" t="s">
        <v>56</v>
      </c>
      <c r="BJ100">
        <v>1</v>
      </c>
      <c r="BK100" t="e">
        <f>ROUND(3.1617*$E$96^-0.532,3)</f>
        <v>#DIV/0!</v>
      </c>
      <c r="BL100"/>
      <c r="BM100"/>
      <c r="BN100"/>
      <c r="BO100"/>
      <c r="BP100"/>
      <c r="BQ100"/>
      <c r="BR100"/>
    </row>
    <row r="101" spans="1:70" ht="18" hidden="1" x14ac:dyDescent="0.35">
      <c r="A101" s="48"/>
      <c r="B101" s="50" t="s">
        <v>237</v>
      </c>
      <c r="C101" s="50"/>
      <c r="D101" s="50"/>
      <c r="E101" s="53">
        <f>ROUNDUP(E99^E100,0)</f>
        <v>66</v>
      </c>
      <c r="F101" s="53" t="s">
        <v>53</v>
      </c>
      <c r="G101" s="93"/>
      <c r="H101" s="94"/>
      <c r="I101" s="116"/>
      <c r="J101" s="116"/>
      <c r="K101" s="116" t="s">
        <v>118</v>
      </c>
      <c r="L101" s="116">
        <f>E102</f>
        <v>9.8000000000000007</v>
      </c>
      <c r="M101" s="117">
        <v>0.5</v>
      </c>
      <c r="N101" s="116"/>
      <c r="O101" s="108"/>
      <c r="P101" s="108"/>
      <c r="Q101" s="108"/>
      <c r="R101" s="46"/>
      <c r="AH101" s="19">
        <v>120</v>
      </c>
      <c r="AI101" s="19">
        <v>0.153</v>
      </c>
      <c r="AJ101" s="19">
        <v>117</v>
      </c>
      <c r="AK101" s="19">
        <v>2.5</v>
      </c>
      <c r="AL101" s="19">
        <v>165</v>
      </c>
      <c r="AM101" s="19">
        <v>5</v>
      </c>
      <c r="AN101" s="19">
        <v>242</v>
      </c>
      <c r="AO101" s="19">
        <v>10.7</v>
      </c>
      <c r="BI101" t="s">
        <v>57</v>
      </c>
      <c r="BJ101">
        <v>1.5</v>
      </c>
      <c r="BK101" t="e">
        <f>ROUND(2.8611*$E$96^-0.523,3)</f>
        <v>#DIV/0!</v>
      </c>
      <c r="BL101"/>
      <c r="BM101"/>
      <c r="BN101"/>
      <c r="BO101"/>
      <c r="BP101"/>
      <c r="BQ101"/>
      <c r="BR101"/>
    </row>
    <row r="102" spans="1:70" ht="18" hidden="1" x14ac:dyDescent="0.35">
      <c r="A102" s="48"/>
      <c r="B102" s="50" t="s">
        <v>238</v>
      </c>
      <c r="C102" s="50"/>
      <c r="D102" s="50"/>
      <c r="E102" s="53">
        <f>ROUND(E97*E98*E101,1)</f>
        <v>9.8000000000000007</v>
      </c>
      <c r="F102" s="53" t="s">
        <v>38</v>
      </c>
      <c r="G102" s="93"/>
      <c r="H102" s="94"/>
      <c r="I102" s="116"/>
      <c r="J102" s="116"/>
      <c r="K102" s="116" t="s">
        <v>119</v>
      </c>
      <c r="L102" s="116">
        <f>ROUND((1-(E103-1)/2)*E102,1)</f>
        <v>8.6999999999999993</v>
      </c>
      <c r="M102" s="117">
        <v>0.25</v>
      </c>
      <c r="N102" s="116"/>
      <c r="O102" s="108"/>
      <c r="P102" s="108"/>
      <c r="Q102" s="108"/>
      <c r="R102" s="46"/>
      <c r="AH102" s="19">
        <v>150</v>
      </c>
      <c r="AI102" s="19">
        <v>0.124</v>
      </c>
      <c r="AJ102" s="19"/>
      <c r="AK102" s="19"/>
      <c r="AL102" s="19">
        <v>191</v>
      </c>
      <c r="AM102" s="19">
        <v>5.4</v>
      </c>
      <c r="AN102" s="19">
        <v>278</v>
      </c>
      <c r="AO102" s="19">
        <v>11.5</v>
      </c>
      <c r="BI102" t="s">
        <v>58</v>
      </c>
      <c r="BJ102">
        <v>2</v>
      </c>
      <c r="BK102" t="e">
        <f>ROUND(2.2669*$E$96^-0.496,3)</f>
        <v>#DIV/0!</v>
      </c>
      <c r="BL102"/>
      <c r="BM102"/>
      <c r="BN102"/>
      <c r="BO102"/>
      <c r="BP102"/>
      <c r="BQ102"/>
      <c r="BR102"/>
    </row>
    <row r="103" spans="1:70" ht="18" hidden="1" x14ac:dyDescent="0.35">
      <c r="A103" s="48"/>
      <c r="B103" s="50" t="s">
        <v>127</v>
      </c>
      <c r="C103" s="50"/>
      <c r="D103" s="50"/>
      <c r="E103" s="53">
        <f>IF(G89&gt;0,IF(G89&gt;1.25,IF(E96&gt;0,BJ141,BJ92),BJ157),"")</f>
        <v>1.222</v>
      </c>
      <c r="F103" s="53"/>
      <c r="G103" s="93"/>
      <c r="H103" s="94"/>
      <c r="I103" s="116"/>
      <c r="J103" s="116"/>
      <c r="K103" s="116" t="s">
        <v>120</v>
      </c>
      <c r="L103" s="116">
        <f>ROUND((1-(E103-1))*E102,1)</f>
        <v>7.6</v>
      </c>
      <c r="M103" s="117">
        <v>0.01</v>
      </c>
      <c r="N103" s="116"/>
      <c r="O103" s="108"/>
      <c r="P103" s="108"/>
      <c r="Q103" s="108"/>
      <c r="R103" s="46"/>
      <c r="AH103" s="19">
        <v>185</v>
      </c>
      <c r="AI103" s="19">
        <v>9.9000000000000005E-2</v>
      </c>
      <c r="AJ103" s="19"/>
      <c r="AK103" s="19"/>
      <c r="AL103" s="19">
        <v>220</v>
      </c>
      <c r="AM103" s="19">
        <v>5.7</v>
      </c>
      <c r="AN103" s="19">
        <v>318</v>
      </c>
      <c r="AO103" s="19">
        <v>12</v>
      </c>
      <c r="BI103" t="s">
        <v>59</v>
      </c>
      <c r="BJ103">
        <v>2.5</v>
      </c>
      <c r="BK103" t="e">
        <f>ROUND(1.988*$E$96^-0.481,3)</f>
        <v>#DIV/0!</v>
      </c>
      <c r="BL103"/>
      <c r="BM103"/>
      <c r="BN103"/>
      <c r="BO103"/>
      <c r="BP103"/>
      <c r="BQ103"/>
      <c r="BR103"/>
    </row>
    <row r="104" spans="1:70" ht="18" hidden="1" x14ac:dyDescent="0.35">
      <c r="A104" s="48"/>
      <c r="B104" s="50" t="s">
        <v>54</v>
      </c>
      <c r="C104" s="50"/>
      <c r="D104" s="50"/>
      <c r="E104" s="53">
        <f>ROUND(E103*E102,1)</f>
        <v>12</v>
      </c>
      <c r="F104" s="53" t="s">
        <v>38</v>
      </c>
      <c r="G104" s="93"/>
      <c r="H104" s="94"/>
      <c r="I104" s="116"/>
      <c r="J104" s="116"/>
      <c r="K104" s="116"/>
      <c r="L104" s="116"/>
      <c r="M104" s="116"/>
      <c r="N104" s="116"/>
      <c r="O104" s="108"/>
      <c r="P104" s="108"/>
      <c r="Q104" s="108"/>
      <c r="R104" s="46"/>
      <c r="AH104" s="19">
        <v>240</v>
      </c>
      <c r="AI104" s="19">
        <v>7.4999999999999997E-2</v>
      </c>
      <c r="AJ104" s="19"/>
      <c r="AK104" s="19"/>
      <c r="AL104" s="19">
        <v>260</v>
      </c>
      <c r="AM104" s="19">
        <v>6.1</v>
      </c>
      <c r="AN104" s="19">
        <v>375</v>
      </c>
      <c r="AO104" s="19">
        <v>12.7</v>
      </c>
      <c r="BI104" t="s">
        <v>60</v>
      </c>
      <c r="BJ104">
        <v>3</v>
      </c>
      <c r="BK104" t="e">
        <f>ROUND(1.7522*$E$96^-0.466,3)</f>
        <v>#DIV/0!</v>
      </c>
      <c r="BL104"/>
      <c r="BM104"/>
      <c r="BN104"/>
      <c r="BO104"/>
      <c r="BP104"/>
      <c r="BQ104"/>
      <c r="BR104"/>
    </row>
    <row r="105" spans="1:70" ht="18.75" hidden="1" thickBot="1" x14ac:dyDescent="0.4">
      <c r="A105" s="47"/>
      <c r="B105" s="114"/>
      <c r="C105" s="114"/>
      <c r="D105" s="116"/>
      <c r="E105" s="116"/>
      <c r="F105" s="116"/>
      <c r="G105" s="116"/>
      <c r="H105" s="106"/>
      <c r="I105" s="116"/>
      <c r="J105" s="116"/>
      <c r="K105" s="116"/>
      <c r="L105" s="114"/>
      <c r="M105" s="108"/>
      <c r="N105" s="108"/>
      <c r="O105" s="108"/>
      <c r="P105" s="108"/>
      <c r="Q105" s="108"/>
      <c r="R105" s="46"/>
      <c r="AH105" s="19"/>
      <c r="AI105" s="19"/>
      <c r="AJ105" s="19"/>
      <c r="AK105" s="19"/>
      <c r="AL105" s="19"/>
      <c r="AM105" s="19"/>
      <c r="AN105" s="19"/>
      <c r="AO105" s="19"/>
      <c r="BI105" t="s">
        <v>61</v>
      </c>
      <c r="BJ105">
        <v>4</v>
      </c>
      <c r="BK105" t="e">
        <f>ROUND(1.4871*$E$96^-0.447,3)</f>
        <v>#DIV/0!</v>
      </c>
      <c r="BL105"/>
      <c r="BM105"/>
      <c r="BN105"/>
      <c r="BO105"/>
      <c r="BP105"/>
      <c r="BQ105"/>
      <c r="BR105"/>
    </row>
    <row r="106" spans="1:70" ht="18.75" hidden="1" thickBot="1" x14ac:dyDescent="0.4">
      <c r="A106" s="88"/>
      <c r="B106" s="89"/>
      <c r="C106" s="89"/>
      <c r="D106" s="104"/>
      <c r="E106" s="104"/>
      <c r="F106" s="104"/>
      <c r="G106" s="104"/>
      <c r="H106" s="104"/>
      <c r="I106" s="104"/>
      <c r="J106" s="104"/>
      <c r="K106" s="104"/>
      <c r="L106" s="89"/>
      <c r="M106" s="90"/>
      <c r="N106" s="90"/>
      <c r="O106" s="90"/>
      <c r="P106" s="90"/>
      <c r="Q106" s="90"/>
      <c r="R106" s="91"/>
      <c r="AH106" s="19"/>
      <c r="AI106" s="19"/>
      <c r="AJ106" s="19"/>
      <c r="AK106" s="19"/>
      <c r="AL106" s="19"/>
      <c r="AM106" s="19"/>
      <c r="AN106" s="19"/>
      <c r="AO106" s="19"/>
      <c r="BI106" t="s">
        <v>62</v>
      </c>
      <c r="BJ106">
        <v>5</v>
      </c>
      <c r="BK106" t="e">
        <f>ROUND(1.2877*$E$96^-0.431,3)</f>
        <v>#DIV/0!</v>
      </c>
      <c r="BL106"/>
      <c r="BM106"/>
      <c r="BN106"/>
      <c r="BO106"/>
      <c r="BP106"/>
      <c r="BQ106"/>
      <c r="BR106"/>
    </row>
    <row r="107" spans="1:70" ht="18" hidden="1" x14ac:dyDescent="0.35">
      <c r="A107" s="107" t="s">
        <v>201</v>
      </c>
      <c r="B107" s="90"/>
      <c r="C107" s="90"/>
      <c r="D107" s="90"/>
      <c r="E107" s="90"/>
      <c r="F107" s="104"/>
      <c r="G107" s="104"/>
      <c r="H107" s="104"/>
      <c r="I107" s="104"/>
      <c r="J107" s="104"/>
      <c r="K107" s="104"/>
      <c r="L107" s="89"/>
      <c r="M107" s="90"/>
      <c r="N107" s="90"/>
      <c r="O107" s="90"/>
      <c r="P107" s="90"/>
      <c r="Q107" s="90"/>
      <c r="R107" s="91"/>
      <c r="AH107" s="19"/>
      <c r="AI107" s="19"/>
      <c r="AJ107" s="230" t="s">
        <v>3</v>
      </c>
      <c r="AK107" s="230"/>
      <c r="AL107" s="19"/>
      <c r="AM107" s="19"/>
      <c r="AN107" s="19"/>
      <c r="AO107" s="19"/>
      <c r="BI107" t="s">
        <v>63</v>
      </c>
      <c r="BJ107">
        <v>6</v>
      </c>
      <c r="BK107" s="9" t="e">
        <f>ROUND(1.1043*$E$96^-0.413,3)</f>
        <v>#DIV/0!</v>
      </c>
      <c r="BL107"/>
      <c r="BM107"/>
      <c r="BN107"/>
      <c r="BO107"/>
      <c r="BP107"/>
      <c r="BQ107"/>
      <c r="BR107"/>
    </row>
    <row r="108" spans="1:70" hidden="1" x14ac:dyDescent="0.25">
      <c r="A108" s="47"/>
      <c r="B108" s="118" t="s">
        <v>202</v>
      </c>
      <c r="C108" s="108"/>
      <c r="D108" s="108"/>
      <c r="E108" s="108"/>
      <c r="F108" s="116"/>
      <c r="G108" s="116"/>
      <c r="H108" s="116"/>
      <c r="I108" s="116"/>
      <c r="J108" s="116"/>
      <c r="K108" s="116"/>
      <c r="L108" s="114"/>
      <c r="M108" s="108"/>
      <c r="N108" s="108"/>
      <c r="O108" s="108"/>
      <c r="P108" s="108"/>
      <c r="Q108" s="108"/>
      <c r="R108" s="46"/>
      <c r="AH108" s="19"/>
      <c r="AI108" s="19"/>
      <c r="AL108" s="19"/>
      <c r="AM108" s="19"/>
      <c r="AN108" s="19"/>
      <c r="AO108" s="19"/>
      <c r="BI108"/>
      <c r="BJ108"/>
      <c r="BK108" s="9"/>
      <c r="BL108"/>
      <c r="BM108"/>
      <c r="BN108"/>
      <c r="BO108"/>
      <c r="BP108"/>
      <c r="BQ108"/>
      <c r="BR108"/>
    </row>
    <row r="109" spans="1:70" hidden="1" x14ac:dyDescent="0.25">
      <c r="A109" s="47"/>
      <c r="B109" s="118" t="s">
        <v>203</v>
      </c>
      <c r="C109" s="108"/>
      <c r="D109" s="108"/>
      <c r="E109" s="108"/>
      <c r="F109" s="116"/>
      <c r="G109" s="116"/>
      <c r="H109" s="116"/>
      <c r="I109" s="116"/>
      <c r="J109" s="116"/>
      <c r="K109" s="116"/>
      <c r="L109" s="114"/>
      <c r="M109" s="108"/>
      <c r="N109" s="108"/>
      <c r="O109" s="108"/>
      <c r="P109" s="108"/>
      <c r="Q109" s="108"/>
      <c r="R109" s="46"/>
      <c r="AH109" s="19"/>
      <c r="AI109" s="19"/>
      <c r="AL109" s="19"/>
      <c r="AM109" s="19"/>
      <c r="AN109" s="19"/>
      <c r="AO109" s="19"/>
      <c r="BI109"/>
      <c r="BJ109"/>
      <c r="BK109" s="9"/>
      <c r="BL109"/>
      <c r="BM109"/>
      <c r="BN109"/>
      <c r="BO109"/>
      <c r="BP109"/>
      <c r="BQ109"/>
      <c r="BR109"/>
    </row>
    <row r="110" spans="1:70" hidden="1" x14ac:dyDescent="0.25">
      <c r="A110" s="47"/>
      <c r="B110" s="221" t="s">
        <v>204</v>
      </c>
      <c r="C110" s="212" t="s">
        <v>205</v>
      </c>
      <c r="D110" s="212"/>
      <c r="E110" s="211" t="s">
        <v>206</v>
      </c>
      <c r="F110" s="116"/>
      <c r="G110" s="116"/>
      <c r="H110" s="116"/>
      <c r="I110" s="116"/>
      <c r="J110" s="116"/>
      <c r="K110" s="116"/>
      <c r="L110" s="114"/>
      <c r="M110" s="108"/>
      <c r="N110" s="108"/>
      <c r="O110" s="108"/>
      <c r="P110" s="108"/>
      <c r="Q110" s="108"/>
      <c r="R110" s="46"/>
      <c r="AH110" s="19"/>
      <c r="AI110" s="19"/>
      <c r="AL110" s="19"/>
      <c r="AM110" s="19"/>
      <c r="AN110" s="19"/>
      <c r="AO110" s="19"/>
      <c r="BI110"/>
      <c r="BJ110"/>
      <c r="BK110" s="9"/>
      <c r="BL110"/>
      <c r="BM110"/>
      <c r="BN110"/>
      <c r="BO110"/>
      <c r="BP110"/>
      <c r="BQ110"/>
      <c r="BR110"/>
    </row>
    <row r="111" spans="1:70" hidden="1" x14ac:dyDescent="0.25">
      <c r="A111" s="47"/>
      <c r="B111" s="221"/>
      <c r="C111" s="212" t="s">
        <v>207</v>
      </c>
      <c r="D111" s="212"/>
      <c r="E111" s="211"/>
      <c r="F111" s="116"/>
      <c r="G111" s="116"/>
      <c r="H111" s="116"/>
      <c r="I111" s="116"/>
      <c r="J111" s="116"/>
      <c r="K111" s="116"/>
      <c r="L111" s="114"/>
      <c r="M111" s="108"/>
      <c r="N111" s="108"/>
      <c r="O111" s="108"/>
      <c r="P111" s="108"/>
      <c r="Q111" s="108"/>
      <c r="R111" s="46"/>
      <c r="AH111" s="19"/>
      <c r="AI111" s="19"/>
      <c r="AL111" s="19"/>
      <c r="AM111" s="19"/>
      <c r="AN111" s="19"/>
      <c r="AO111" s="19"/>
      <c r="BI111"/>
      <c r="BJ111"/>
      <c r="BK111" s="9"/>
      <c r="BL111"/>
      <c r="BM111"/>
      <c r="BN111"/>
      <c r="BO111"/>
      <c r="BP111"/>
      <c r="BQ111"/>
      <c r="BR111"/>
    </row>
    <row r="112" spans="1:70" hidden="1" x14ac:dyDescent="0.25">
      <c r="A112" s="47"/>
      <c r="B112" s="120"/>
      <c r="C112" s="121">
        <f>(D120/(Q4-Q3))*3.1</f>
        <v>-69.198199999999986</v>
      </c>
      <c r="D112" s="122" t="s">
        <v>208</v>
      </c>
      <c r="E112" s="122"/>
      <c r="F112" s="116"/>
      <c r="G112" s="116"/>
      <c r="H112" s="116"/>
      <c r="I112" s="116"/>
      <c r="J112" s="116"/>
      <c r="K112" s="116"/>
      <c r="L112" s="114"/>
      <c r="M112" s="108"/>
      <c r="N112" s="108"/>
      <c r="O112" s="108"/>
      <c r="P112" s="108"/>
      <c r="Q112" s="108"/>
      <c r="R112" s="46"/>
      <c r="AH112" s="19"/>
      <c r="AI112" s="19"/>
      <c r="AL112" s="19"/>
      <c r="AM112" s="19"/>
      <c r="AN112" s="19"/>
      <c r="AO112" s="19"/>
      <c r="BI112"/>
      <c r="BJ112"/>
      <c r="BK112" s="9"/>
      <c r="BL112"/>
      <c r="BM112"/>
      <c r="BN112"/>
      <c r="BO112"/>
      <c r="BP112"/>
      <c r="BQ112"/>
      <c r="BR112"/>
    </row>
    <row r="113" spans="1:71" hidden="1" x14ac:dyDescent="0.25">
      <c r="A113" s="47"/>
      <c r="B113" s="152" t="s">
        <v>209</v>
      </c>
      <c r="C113" s="123"/>
      <c r="D113" s="122" t="s">
        <v>208</v>
      </c>
      <c r="E113" s="108"/>
      <c r="F113" s="116"/>
      <c r="G113" s="116"/>
      <c r="H113" s="116"/>
      <c r="I113" s="116"/>
      <c r="J113" s="116"/>
      <c r="K113" s="116"/>
      <c r="L113" s="114"/>
      <c r="M113" s="108"/>
      <c r="N113" s="108"/>
      <c r="O113" s="108"/>
      <c r="P113" s="108"/>
      <c r="Q113" s="108"/>
      <c r="R113" s="46"/>
      <c r="AH113" s="19"/>
      <c r="AI113" s="19"/>
      <c r="AL113" s="19"/>
      <c r="AM113" s="19"/>
      <c r="AN113" s="19"/>
      <c r="AO113" s="19"/>
      <c r="BI113"/>
      <c r="BJ113"/>
      <c r="BK113" s="9"/>
      <c r="BL113"/>
      <c r="BM113"/>
      <c r="BN113"/>
      <c r="BO113"/>
      <c r="BP113"/>
      <c r="BQ113"/>
      <c r="BR113"/>
    </row>
    <row r="114" spans="1:71" hidden="1" x14ac:dyDescent="0.25">
      <c r="A114" s="47"/>
      <c r="B114" s="108"/>
      <c r="C114" s="108"/>
      <c r="D114" s="108"/>
      <c r="E114" s="108"/>
      <c r="F114" s="116"/>
      <c r="G114" s="116"/>
      <c r="H114" s="116"/>
      <c r="I114" s="116"/>
      <c r="J114" s="116"/>
      <c r="K114" s="116"/>
      <c r="L114" s="114"/>
      <c r="M114" s="108"/>
      <c r="N114" s="108"/>
      <c r="O114" s="108"/>
      <c r="P114" s="108"/>
      <c r="Q114" s="108"/>
      <c r="R114" s="46"/>
      <c r="AH114" s="19"/>
      <c r="AI114" s="19"/>
      <c r="AL114" s="19"/>
      <c r="AM114" s="19"/>
      <c r="AN114" s="19"/>
      <c r="AO114" s="19"/>
      <c r="BI114"/>
      <c r="BJ114"/>
      <c r="BK114" s="9"/>
      <c r="BL114"/>
      <c r="BM114"/>
      <c r="BN114"/>
      <c r="BO114"/>
      <c r="BP114"/>
      <c r="BQ114"/>
      <c r="BR114"/>
    </row>
    <row r="115" spans="1:71" hidden="1" x14ac:dyDescent="0.25">
      <c r="A115" s="47"/>
      <c r="B115" s="152" t="s">
        <v>210</v>
      </c>
      <c r="C115" s="108"/>
      <c r="D115" s="108"/>
      <c r="E115" s="108"/>
      <c r="F115" s="116"/>
      <c r="G115" s="116"/>
      <c r="H115" s="116"/>
      <c r="I115" s="116"/>
      <c r="J115" s="116"/>
      <c r="K115" s="116"/>
      <c r="L115" s="114"/>
      <c r="M115" s="108"/>
      <c r="N115" s="108"/>
      <c r="O115" s="108"/>
      <c r="P115" s="108"/>
      <c r="Q115" s="108"/>
      <c r="R115" s="46"/>
      <c r="AH115" s="19"/>
      <c r="AI115" s="19"/>
      <c r="AL115" s="19"/>
      <c r="AM115" s="19"/>
      <c r="AN115" s="19"/>
      <c r="AO115" s="19"/>
      <c r="BI115"/>
      <c r="BJ115"/>
      <c r="BK115" s="9"/>
      <c r="BL115"/>
      <c r="BM115"/>
      <c r="BN115"/>
      <c r="BO115"/>
      <c r="BP115"/>
      <c r="BQ115"/>
      <c r="BR115"/>
    </row>
    <row r="116" spans="1:71" ht="15" hidden="1" customHeight="1" x14ac:dyDescent="0.25">
      <c r="A116" s="47"/>
      <c r="B116" s="120" t="s">
        <v>211</v>
      </c>
      <c r="C116" s="121">
        <f>(C113/3.1)*(Q4-Q3)</f>
        <v>0</v>
      </c>
      <c r="D116" s="122" t="s">
        <v>16</v>
      </c>
      <c r="E116" s="108"/>
      <c r="F116" s="116"/>
      <c r="G116" s="116"/>
      <c r="H116" s="116"/>
      <c r="I116" s="116"/>
      <c r="J116" s="116"/>
      <c r="K116" s="116"/>
      <c r="L116" s="114"/>
      <c r="M116" s="108"/>
      <c r="N116" s="108"/>
      <c r="O116" s="108"/>
      <c r="P116" s="108"/>
      <c r="Q116" s="108"/>
      <c r="R116" s="46"/>
      <c r="AH116" s="19"/>
      <c r="AI116" s="19"/>
      <c r="AL116" s="19"/>
      <c r="AM116" s="19"/>
      <c r="AN116" s="19"/>
      <c r="AO116" s="19"/>
      <c r="BI116"/>
      <c r="BJ116"/>
      <c r="BK116" s="9"/>
      <c r="BL116"/>
      <c r="BM116"/>
      <c r="BN116"/>
      <c r="BO116"/>
      <c r="BP116"/>
      <c r="BQ116"/>
      <c r="BR116"/>
    </row>
    <row r="117" spans="1:71" ht="33.75" hidden="1" thickBot="1" x14ac:dyDescent="0.4">
      <c r="A117" s="153"/>
      <c r="B117" s="154"/>
      <c r="C117" s="154"/>
      <c r="D117" s="155"/>
      <c r="E117" s="156"/>
      <c r="F117" s="56"/>
      <c r="G117" s="56"/>
      <c r="H117" s="56"/>
      <c r="I117" s="157"/>
      <c r="J117" s="157"/>
      <c r="K117" s="157"/>
      <c r="L117" s="57"/>
      <c r="M117" s="56"/>
      <c r="N117" s="56"/>
      <c r="O117" s="56"/>
      <c r="P117" s="56"/>
      <c r="Q117" s="56"/>
      <c r="R117" s="58"/>
      <c r="AH117" s="21" t="s">
        <v>8</v>
      </c>
      <c r="AI117" s="19"/>
      <c r="AJ117" s="21" t="s">
        <v>11</v>
      </c>
      <c r="AK117" s="21" t="s">
        <v>12</v>
      </c>
      <c r="AL117" s="21" t="s">
        <v>8</v>
      </c>
      <c r="AM117" s="19"/>
      <c r="AN117" s="19"/>
      <c r="AO117" s="19"/>
      <c r="BI117" t="s">
        <v>64</v>
      </c>
      <c r="BJ117">
        <v>7</v>
      </c>
      <c r="BK117" t="e">
        <f>ROUND(0.9907*$E$96^-0.402,3)</f>
        <v>#DIV/0!</v>
      </c>
      <c r="BL117"/>
      <c r="BM117"/>
      <c r="BN117"/>
      <c r="BO117"/>
      <c r="BP117"/>
      <c r="BQ117"/>
      <c r="BR117"/>
    </row>
    <row r="118" spans="1:71" hidden="1" x14ac:dyDescent="0.25">
      <c r="A118" s="47"/>
      <c r="B118" s="158"/>
      <c r="C118" s="158"/>
      <c r="D118" s="108"/>
      <c r="E118" s="119"/>
      <c r="F118" s="122"/>
      <c r="G118" s="122"/>
      <c r="H118" s="158"/>
      <c r="I118" s="158"/>
      <c r="J118" s="158"/>
      <c r="K118" s="158"/>
      <c r="L118" s="108"/>
      <c r="M118" s="119"/>
      <c r="N118" s="108"/>
      <c r="O118" s="108"/>
      <c r="P118" s="108"/>
      <c r="Q118" s="108"/>
      <c r="R118" s="46"/>
      <c r="AH118" s="21"/>
      <c r="AI118" s="19"/>
      <c r="AJ118" s="21"/>
      <c r="AK118" s="21"/>
      <c r="AL118" s="21"/>
      <c r="AM118" s="19"/>
      <c r="AN118" s="19"/>
      <c r="AO118" s="19"/>
      <c r="BI118"/>
      <c r="BJ118"/>
      <c r="BK118"/>
      <c r="BL118"/>
      <c r="BM118"/>
      <c r="BN118"/>
      <c r="BO118"/>
      <c r="BP118"/>
      <c r="BQ118"/>
      <c r="BR118"/>
    </row>
    <row r="119" spans="1:71" ht="18" hidden="1" x14ac:dyDescent="0.35">
      <c r="A119" s="159" t="s">
        <v>198</v>
      </c>
      <c r="B119" s="108"/>
      <c r="C119" s="108"/>
      <c r="D119" s="108"/>
      <c r="E119" s="108"/>
      <c r="F119" s="108"/>
      <c r="G119" s="108"/>
      <c r="H119" s="108"/>
      <c r="I119" s="152" t="s">
        <v>239</v>
      </c>
      <c r="J119" s="160"/>
      <c r="K119" s="161"/>
      <c r="L119" s="162"/>
      <c r="M119" s="160"/>
      <c r="N119" s="160"/>
      <c r="O119" s="152" t="s">
        <v>199</v>
      </c>
      <c r="P119" s="160"/>
      <c r="Q119" s="161"/>
      <c r="R119" s="163"/>
      <c r="AH119" s="21" t="s">
        <v>7</v>
      </c>
      <c r="AI119" s="19"/>
      <c r="AJ119" s="21" t="s">
        <v>1</v>
      </c>
      <c r="AK119" s="21" t="s">
        <v>13</v>
      </c>
      <c r="AL119" s="21" t="s">
        <v>7</v>
      </c>
      <c r="AM119" s="19"/>
      <c r="AN119" s="19"/>
      <c r="AO119" s="19"/>
      <c r="BI119" t="s">
        <v>65</v>
      </c>
      <c r="BJ119">
        <v>8</v>
      </c>
      <c r="BK119" t="e">
        <f>ROUND(0.8638*$E$96^-0.386,3)</f>
        <v>#DIV/0!</v>
      </c>
      <c r="BL119"/>
      <c r="BM119"/>
      <c r="BN119"/>
      <c r="BO119"/>
      <c r="BP119"/>
      <c r="BQ119"/>
      <c r="BR119"/>
      <c r="BS119" s="3"/>
    </row>
    <row r="120" spans="1:71" ht="18" hidden="1" x14ac:dyDescent="0.35">
      <c r="A120" s="164"/>
      <c r="B120" s="165" t="s">
        <v>240</v>
      </c>
      <c r="C120" s="108"/>
      <c r="D120" s="161">
        <f>R60-(H122*K4*(Q4-Q3))</f>
        <v>-446.43999999999994</v>
      </c>
      <c r="E120" s="119" t="s">
        <v>16</v>
      </c>
      <c r="F120" s="108"/>
      <c r="G120" s="108"/>
      <c r="H120" s="108"/>
      <c r="I120" s="152" t="s">
        <v>241</v>
      </c>
      <c r="J120" s="160"/>
      <c r="K120" s="161"/>
      <c r="L120" s="162"/>
      <c r="M120" s="160"/>
      <c r="N120" s="160"/>
      <c r="O120" s="152" t="s">
        <v>200</v>
      </c>
      <c r="P120" s="160"/>
      <c r="Q120" s="161"/>
      <c r="R120" s="163"/>
      <c r="AH120" s="21"/>
      <c r="AI120" s="19"/>
      <c r="AJ120" s="21">
        <v>-1</v>
      </c>
      <c r="AK120" s="21">
        <v>0</v>
      </c>
      <c r="AL120" s="21">
        <v>-1</v>
      </c>
      <c r="AM120" s="19"/>
      <c r="AN120" s="19"/>
      <c r="AO120" s="19"/>
      <c r="BI120" t="s">
        <v>66</v>
      </c>
      <c r="BJ120">
        <v>10</v>
      </c>
      <c r="BK120" t="e">
        <f>ROUND(0.7227*$E$96^-0.366,3)</f>
        <v>#DIV/0!</v>
      </c>
      <c r="BL120"/>
      <c r="BM120"/>
      <c r="BN120"/>
      <c r="BO120"/>
      <c r="BP120"/>
      <c r="BQ120"/>
      <c r="BR120"/>
      <c r="BS120" s="3"/>
    </row>
    <row r="121" spans="1:71" ht="18" hidden="1" x14ac:dyDescent="0.35">
      <c r="A121" s="47"/>
      <c r="B121" s="166"/>
      <c r="C121" s="167"/>
      <c r="D121" s="108"/>
      <c r="E121" s="168"/>
      <c r="F121" s="108"/>
      <c r="G121" s="108"/>
      <c r="H121" s="108"/>
      <c r="I121" s="108"/>
      <c r="J121" s="108"/>
      <c r="K121" s="169"/>
      <c r="L121" s="169"/>
      <c r="M121" s="169"/>
      <c r="N121" s="108"/>
      <c r="O121" s="108"/>
      <c r="P121" s="108"/>
      <c r="Q121" s="108"/>
      <c r="R121" s="46"/>
      <c r="AH121" s="22">
        <v>1.5</v>
      </c>
      <c r="AI121" s="19"/>
      <c r="AJ121" s="22">
        <v>8</v>
      </c>
      <c r="AK121" s="22">
        <v>0.8</v>
      </c>
      <c r="AL121" s="22">
        <v>1.5</v>
      </c>
      <c r="AM121" s="19"/>
      <c r="AN121" s="19"/>
      <c r="AO121" s="19"/>
      <c r="BI121" t="s">
        <v>67</v>
      </c>
      <c r="BJ121">
        <v>12</v>
      </c>
      <c r="BK121" t="e">
        <f>ROUND(0.5921*$E$96^-0.341,3)</f>
        <v>#DIV/0!</v>
      </c>
      <c r="BL121"/>
      <c r="BM121"/>
      <c r="BN121"/>
      <c r="BO121"/>
      <c r="BP121"/>
      <c r="BQ121"/>
      <c r="BR121"/>
      <c r="BS121" s="3"/>
    </row>
    <row r="122" spans="1:71" ht="18" hidden="1" x14ac:dyDescent="0.35">
      <c r="A122" s="47"/>
      <c r="B122" s="170" t="s">
        <v>242</v>
      </c>
      <c r="C122" s="108"/>
      <c r="D122" s="108"/>
      <c r="E122" s="122"/>
      <c r="F122" s="122"/>
      <c r="G122" s="108"/>
      <c r="H122" s="123">
        <v>5.5</v>
      </c>
      <c r="I122" s="108"/>
      <c r="J122" s="108"/>
      <c r="K122" s="169"/>
      <c r="L122" s="169"/>
      <c r="M122" s="169"/>
      <c r="N122" s="108"/>
      <c r="O122" s="108"/>
      <c r="P122" s="108"/>
      <c r="Q122" s="108"/>
      <c r="R122" s="46"/>
      <c r="AH122" s="22">
        <v>2.5</v>
      </c>
      <c r="AI122" s="19"/>
      <c r="AJ122" s="22">
        <v>10</v>
      </c>
      <c r="AK122" s="22">
        <v>0.9</v>
      </c>
      <c r="AL122" s="22">
        <v>2.5</v>
      </c>
      <c r="AM122" s="19"/>
      <c r="AN122" s="19"/>
      <c r="AO122" s="19"/>
      <c r="BI122" t="s">
        <v>68</v>
      </c>
      <c r="BJ122">
        <v>14</v>
      </c>
      <c r="BK122" s="9" t="e">
        <f>ROUND(0.4804*$E$96^-0.313,3)</f>
        <v>#DIV/0!</v>
      </c>
      <c r="BL122"/>
      <c r="BM122"/>
      <c r="BN122"/>
      <c r="BO122"/>
      <c r="BP122"/>
      <c r="BQ122"/>
      <c r="BR122"/>
      <c r="BS122" s="3"/>
    </row>
    <row r="123" spans="1:71" hidden="1" x14ac:dyDescent="0.25">
      <c r="A123" s="47"/>
      <c r="B123" s="168" t="s">
        <v>243</v>
      </c>
      <c r="C123" s="108"/>
      <c r="D123" s="108"/>
      <c r="E123" s="122"/>
      <c r="F123" s="122"/>
      <c r="G123" s="108"/>
      <c r="H123" s="108"/>
      <c r="I123" s="108"/>
      <c r="J123" s="108"/>
      <c r="K123" s="169"/>
      <c r="L123" s="169"/>
      <c r="M123" s="169"/>
      <c r="N123" s="108"/>
      <c r="O123" s="108"/>
      <c r="P123" s="108"/>
      <c r="Q123" s="108"/>
      <c r="R123" s="46"/>
      <c r="AH123" s="22">
        <v>4</v>
      </c>
      <c r="AI123" s="19"/>
      <c r="AJ123" s="22">
        <v>14</v>
      </c>
      <c r="AK123" s="22">
        <v>1</v>
      </c>
      <c r="AL123" s="22">
        <v>4</v>
      </c>
      <c r="AM123" s="19"/>
      <c r="AN123" s="19"/>
      <c r="AO123" s="19"/>
      <c r="BI123"/>
      <c r="BJ123"/>
      <c r="BK123"/>
      <c r="BL123"/>
      <c r="BM123"/>
      <c r="BN123"/>
      <c r="BO123"/>
      <c r="BP123"/>
      <c r="BQ123"/>
      <c r="BR123"/>
      <c r="BS123" s="3"/>
    </row>
    <row r="124" spans="1:71" hidden="1" x14ac:dyDescent="0.25">
      <c r="A124" s="47"/>
      <c r="B124" s="168" t="s">
        <v>244</v>
      </c>
      <c r="C124" s="108"/>
      <c r="D124" s="108"/>
      <c r="E124" s="122"/>
      <c r="F124" s="122"/>
      <c r="G124" s="108"/>
      <c r="H124" s="108"/>
      <c r="I124" s="108"/>
      <c r="J124" s="108"/>
      <c r="K124" s="169"/>
      <c r="L124" s="169"/>
      <c r="M124" s="169"/>
      <c r="N124" s="108"/>
      <c r="O124" s="108"/>
      <c r="P124" s="108"/>
      <c r="Q124" s="108"/>
      <c r="R124" s="46"/>
      <c r="AH124" s="22">
        <v>6</v>
      </c>
      <c r="AI124" s="19"/>
      <c r="AJ124" s="22">
        <v>18</v>
      </c>
      <c r="AK124" s="22">
        <v>1.1000000000000001</v>
      </c>
      <c r="AL124" s="22">
        <v>6</v>
      </c>
      <c r="AM124" s="19"/>
      <c r="AN124" s="19"/>
      <c r="AO124" s="19"/>
      <c r="BI124"/>
      <c r="BJ124" t="s">
        <v>49</v>
      </c>
      <c r="BK124" t="e">
        <f>INDEX($BJ$100:$BK$122,MATCH($BN$99,$BJ$100:$BJ$122,3),2)</f>
        <v>#DIV/0!</v>
      </c>
      <c r="BL124"/>
      <c r="BM124"/>
      <c r="BN124"/>
      <c r="BO124"/>
      <c r="BP124"/>
      <c r="BQ124"/>
      <c r="BR124"/>
    </row>
    <row r="125" spans="1:71" hidden="1" x14ac:dyDescent="0.25">
      <c r="A125" s="47"/>
      <c r="B125" s="168" t="s">
        <v>245</v>
      </c>
      <c r="C125" s="108"/>
      <c r="D125" s="108"/>
      <c r="E125" s="122"/>
      <c r="F125" s="122"/>
      <c r="G125" s="108"/>
      <c r="H125" s="108"/>
      <c r="I125" s="108"/>
      <c r="J125" s="108"/>
      <c r="K125" s="169"/>
      <c r="L125" s="169"/>
      <c r="M125" s="169"/>
      <c r="N125" s="108"/>
      <c r="O125" s="108"/>
      <c r="P125" s="108"/>
      <c r="Q125" s="108"/>
      <c r="R125" s="46"/>
      <c r="AH125" s="22">
        <v>10</v>
      </c>
      <c r="AI125" s="19"/>
      <c r="AJ125" s="22">
        <v>24</v>
      </c>
      <c r="AK125" s="22">
        <v>1.3</v>
      </c>
      <c r="AL125" s="22">
        <v>10</v>
      </c>
      <c r="AM125" s="19"/>
      <c r="AN125" s="19"/>
      <c r="AO125" s="19"/>
      <c r="BI125"/>
      <c r="BJ125"/>
      <c r="BK125"/>
      <c r="BL125"/>
      <c r="BM125"/>
      <c r="BN125"/>
      <c r="BO125"/>
      <c r="BP125"/>
      <c r="BQ125"/>
      <c r="BR125"/>
    </row>
    <row r="126" spans="1:71" hidden="1" x14ac:dyDescent="0.25">
      <c r="A126" s="47"/>
      <c r="B126" s="166"/>
      <c r="C126" s="167"/>
      <c r="D126" s="108"/>
      <c r="E126" s="119"/>
      <c r="F126" s="122"/>
      <c r="G126" s="122"/>
      <c r="H126" s="108"/>
      <c r="I126" s="108"/>
      <c r="J126" s="108"/>
      <c r="K126" s="169"/>
      <c r="L126" s="169"/>
      <c r="M126" s="169"/>
      <c r="N126" s="108"/>
      <c r="O126" s="108"/>
      <c r="P126" s="108"/>
      <c r="Q126" s="108"/>
      <c r="R126" s="46"/>
      <c r="AH126" s="22">
        <v>16</v>
      </c>
      <c r="AI126" s="19"/>
      <c r="AJ126" s="22">
        <v>33</v>
      </c>
      <c r="AK126" s="22">
        <v>1.5</v>
      </c>
      <c r="AL126" s="22">
        <v>16</v>
      </c>
      <c r="AM126" s="19"/>
      <c r="AN126" s="19"/>
      <c r="AO126" s="19"/>
      <c r="BI126"/>
      <c r="BJ126"/>
      <c r="BK126"/>
      <c r="BL126"/>
      <c r="BM126"/>
      <c r="BN126"/>
      <c r="BO126"/>
      <c r="BP126"/>
      <c r="BQ126"/>
      <c r="BR126"/>
    </row>
    <row r="127" spans="1:71" hidden="1" x14ac:dyDescent="0.25">
      <c r="A127" s="47"/>
      <c r="B127" s="166"/>
      <c r="C127" s="167"/>
      <c r="D127" s="108"/>
      <c r="E127" s="119"/>
      <c r="F127" s="122"/>
      <c r="G127" s="122"/>
      <c r="H127" s="108"/>
      <c r="I127" s="108"/>
      <c r="J127" s="108"/>
      <c r="K127" s="169"/>
      <c r="L127" s="169"/>
      <c r="M127" s="169"/>
      <c r="N127" s="108"/>
      <c r="O127" s="108"/>
      <c r="P127" s="108"/>
      <c r="Q127" s="108"/>
      <c r="R127" s="46"/>
      <c r="AH127" s="22">
        <v>25</v>
      </c>
      <c r="AI127" s="19"/>
      <c r="AJ127" s="22">
        <v>43</v>
      </c>
      <c r="AK127" s="22">
        <v>1.6</v>
      </c>
      <c r="AL127" s="22">
        <v>25</v>
      </c>
      <c r="AM127" s="19"/>
      <c r="AN127" s="19"/>
      <c r="AO127" s="19"/>
      <c r="BI127" t="s">
        <v>72</v>
      </c>
      <c r="BJ127"/>
      <c r="BK127"/>
      <c r="BL127"/>
      <c r="BM127"/>
      <c r="BN127"/>
      <c r="BO127"/>
      <c r="BP127"/>
      <c r="BQ127"/>
      <c r="BR127"/>
    </row>
    <row r="128" spans="1:71" ht="18.75" hidden="1" customHeight="1" x14ac:dyDescent="0.25">
      <c r="A128" s="47"/>
      <c r="B128" s="171" t="s">
        <v>195</v>
      </c>
      <c r="C128" s="108"/>
      <c r="D128" s="108"/>
      <c r="E128" s="152" t="s">
        <v>221</v>
      </c>
      <c r="F128" s="108"/>
      <c r="G128" s="120" t="s">
        <v>222</v>
      </c>
      <c r="H128" s="172">
        <f>K4*H122*(Q4-Q3)</f>
        <v>628.31999999999994</v>
      </c>
      <c r="I128" s="173" t="s">
        <v>16</v>
      </c>
      <c r="J128" s="108"/>
      <c r="K128" s="108"/>
      <c r="L128" s="108"/>
      <c r="M128" s="108"/>
      <c r="N128" s="108"/>
      <c r="O128" s="108"/>
      <c r="P128" s="108"/>
      <c r="Q128" s="108"/>
      <c r="R128" s="46"/>
      <c r="AH128" s="22">
        <v>35</v>
      </c>
      <c r="AI128" s="19"/>
      <c r="AJ128" s="22">
        <v>54</v>
      </c>
      <c r="AK128" s="22">
        <v>1.8</v>
      </c>
      <c r="AL128" s="22">
        <v>35</v>
      </c>
      <c r="AM128" s="19"/>
      <c r="AN128" s="19"/>
      <c r="AO128" s="19"/>
      <c r="BI128"/>
      <c r="BJ128"/>
      <c r="BK128"/>
      <c r="BL128"/>
      <c r="BM128"/>
      <c r="BN128"/>
      <c r="BO128"/>
      <c r="BP128"/>
      <c r="BQ128"/>
      <c r="BR128"/>
    </row>
    <row r="129" spans="1:70" ht="17.25" hidden="1" customHeight="1" x14ac:dyDescent="0.25">
      <c r="A129" s="47"/>
      <c r="B129" s="169" t="s">
        <v>223</v>
      </c>
      <c r="C129" s="108"/>
      <c r="D129" s="108"/>
      <c r="E129" s="119"/>
      <c r="F129" s="122"/>
      <c r="G129" s="122"/>
      <c r="H129" s="108"/>
      <c r="I129" s="108"/>
      <c r="J129" s="108"/>
      <c r="K129" s="120"/>
      <c r="L129" s="174"/>
      <c r="M129" s="173"/>
      <c r="N129" s="108"/>
      <c r="O129" s="108"/>
      <c r="P129" s="108"/>
      <c r="Q129" s="108"/>
      <c r="R129" s="46"/>
      <c r="AH129" s="22">
        <v>50</v>
      </c>
      <c r="AI129" s="19"/>
      <c r="AJ129" s="22">
        <v>65</v>
      </c>
      <c r="AK129" s="22">
        <v>2</v>
      </c>
      <c r="AL129" s="22">
        <v>50</v>
      </c>
      <c r="AM129" s="19"/>
      <c r="AN129" s="19"/>
      <c r="AO129" s="19"/>
      <c r="BI129"/>
      <c r="BJ129"/>
      <c r="BK129"/>
      <c r="BL129"/>
      <c r="BM129">
        <f>C94</f>
        <v>5.3109999999999999</v>
      </c>
      <c r="BN129">
        <f>IF(BM129&lt;1.5,1.5,BM129)</f>
        <v>5.3109999999999999</v>
      </c>
      <c r="BO129" t="s">
        <v>83</v>
      </c>
      <c r="BP129"/>
      <c r="BQ129"/>
      <c r="BR129"/>
    </row>
    <row r="130" spans="1:70" ht="17.25" hidden="1" customHeight="1" x14ac:dyDescent="0.35">
      <c r="A130" s="47"/>
      <c r="B130" s="167" t="s">
        <v>196</v>
      </c>
      <c r="C130" s="108"/>
      <c r="D130" s="108"/>
      <c r="E130" s="119"/>
      <c r="F130" s="122"/>
      <c r="G130" s="122"/>
      <c r="H130" s="108"/>
      <c r="I130" s="108"/>
      <c r="J130" s="108"/>
      <c r="K130" s="169"/>
      <c r="L130" s="169"/>
      <c r="M130" s="169"/>
      <c r="N130" s="108"/>
      <c r="O130" s="108"/>
      <c r="P130" s="108"/>
      <c r="Q130" s="108"/>
      <c r="R130" s="46"/>
      <c r="AH130" s="22">
        <v>70</v>
      </c>
      <c r="AI130" s="19"/>
      <c r="AJ130" s="22">
        <v>83</v>
      </c>
      <c r="AK130" s="22">
        <v>2.2000000000000002</v>
      </c>
      <c r="AL130" s="22">
        <v>70</v>
      </c>
      <c r="AM130" s="19"/>
      <c r="AN130" s="19"/>
      <c r="AO130" s="19"/>
      <c r="BI130" t="s">
        <v>82</v>
      </c>
      <c r="BJ130">
        <v>1.5</v>
      </c>
      <c r="BK130" s="13">
        <f>ROUND(0.8671*E96^0.1118,3)</f>
        <v>0</v>
      </c>
      <c r="BL130"/>
      <c r="BM130"/>
      <c r="BN130"/>
      <c r="BO130"/>
      <c r="BP130"/>
      <c r="BQ130"/>
      <c r="BR130"/>
    </row>
    <row r="131" spans="1:70" ht="17.25" hidden="1" customHeight="1" x14ac:dyDescent="0.35">
      <c r="A131" s="47"/>
      <c r="B131" s="167" t="s">
        <v>197</v>
      </c>
      <c r="C131" s="108"/>
      <c r="D131" s="108"/>
      <c r="E131" s="108"/>
      <c r="F131" s="108"/>
      <c r="G131" s="108"/>
      <c r="H131" s="108"/>
      <c r="I131" s="108"/>
      <c r="J131" s="108"/>
      <c r="K131" s="169"/>
      <c r="L131" s="169"/>
      <c r="M131" s="169"/>
      <c r="N131" s="108"/>
      <c r="O131" s="108"/>
      <c r="P131" s="108"/>
      <c r="Q131" s="108"/>
      <c r="R131" s="46"/>
      <c r="AH131" s="22">
        <v>95</v>
      </c>
      <c r="AI131" s="19"/>
      <c r="AJ131" s="22">
        <v>101</v>
      </c>
      <c r="AK131" s="22">
        <v>2.4</v>
      </c>
      <c r="AL131" s="22">
        <v>95</v>
      </c>
      <c r="AM131" s="19"/>
      <c r="AN131" s="19"/>
      <c r="AO131" s="19"/>
      <c r="BI131" t="s">
        <v>73</v>
      </c>
      <c r="BJ131">
        <v>2</v>
      </c>
      <c r="BK131" s="14">
        <f>ROUND(0.9221*E96^0.1054,3)</f>
        <v>0</v>
      </c>
      <c r="BL131"/>
      <c r="BM131"/>
      <c r="BN131"/>
      <c r="BO131"/>
      <c r="BP131"/>
      <c r="BQ131"/>
      <c r="BR131"/>
    </row>
    <row r="132" spans="1:70" ht="17.25" hidden="1" customHeight="1" x14ac:dyDescent="0.35">
      <c r="A132" s="47"/>
      <c r="B132" s="167" t="s">
        <v>224</v>
      </c>
      <c r="C132" s="108"/>
      <c r="D132" s="108"/>
      <c r="E132" s="108"/>
      <c r="F132" s="108"/>
      <c r="G132" s="108"/>
      <c r="H132" s="108"/>
      <c r="I132" s="108"/>
      <c r="J132" s="108"/>
      <c r="K132" s="169"/>
      <c r="L132" s="169"/>
      <c r="M132" s="169"/>
      <c r="N132" s="108"/>
      <c r="O132" s="108"/>
      <c r="P132" s="108"/>
      <c r="Q132" s="108"/>
      <c r="R132" s="46"/>
      <c r="AH132" s="19">
        <v>120</v>
      </c>
      <c r="AI132" s="19"/>
      <c r="AJ132" s="19">
        <v>117</v>
      </c>
      <c r="AK132" s="19">
        <v>2.5</v>
      </c>
      <c r="AL132" s="19">
        <v>120</v>
      </c>
      <c r="AM132" s="19"/>
      <c r="AN132" s="19"/>
      <c r="AO132" s="19"/>
      <c r="BI132" t="s">
        <v>74</v>
      </c>
      <c r="BJ132">
        <v>3</v>
      </c>
      <c r="BK132" s="13">
        <f>ROUND(1.0199*E96^0.0944,3)</f>
        <v>0</v>
      </c>
      <c r="BL132"/>
      <c r="BM132"/>
      <c r="BN132"/>
      <c r="BO132"/>
      <c r="BP132"/>
      <c r="BQ132"/>
      <c r="BR132"/>
    </row>
    <row r="133" spans="1:70" ht="17.25" hidden="1" customHeight="1" x14ac:dyDescent="0.35">
      <c r="A133" s="47"/>
      <c r="B133" s="167" t="s">
        <v>225</v>
      </c>
      <c r="C133" s="108"/>
      <c r="D133" s="108"/>
      <c r="E133" s="108"/>
      <c r="F133" s="108"/>
      <c r="G133" s="108"/>
      <c r="H133" s="108"/>
      <c r="I133" s="108"/>
      <c r="J133" s="108"/>
      <c r="K133" s="169"/>
      <c r="L133" s="169"/>
      <c r="M133" s="169"/>
      <c r="N133" s="108"/>
      <c r="O133" s="108"/>
      <c r="P133" s="108"/>
      <c r="Q133" s="108"/>
      <c r="R133" s="46"/>
      <c r="AH133" s="19">
        <v>150</v>
      </c>
      <c r="AI133" s="19"/>
      <c r="AJ133" s="19"/>
      <c r="AK133" s="19"/>
      <c r="AL133" s="19">
        <v>150</v>
      </c>
      <c r="AM133" s="19"/>
      <c r="AN133" s="19"/>
      <c r="AO133" s="19"/>
      <c r="BI133" t="s">
        <v>75</v>
      </c>
      <c r="BJ133">
        <v>4</v>
      </c>
      <c r="BK133" s="13">
        <f>ROUND(1.0881*E96^0.0891,3)</f>
        <v>0</v>
      </c>
      <c r="BL133"/>
      <c r="BM133"/>
      <c r="BN133"/>
      <c r="BO133"/>
      <c r="BP133"/>
      <c r="BQ133"/>
      <c r="BR133"/>
    </row>
    <row r="134" spans="1:70" ht="15.75" hidden="1" thickBot="1" x14ac:dyDescent="0.3">
      <c r="A134" s="153"/>
      <c r="B134" s="56"/>
      <c r="C134" s="56"/>
      <c r="D134" s="56"/>
      <c r="E134" s="56"/>
      <c r="F134" s="56"/>
      <c r="G134" s="56"/>
      <c r="H134" s="56"/>
      <c r="I134" s="56"/>
      <c r="J134" s="56"/>
      <c r="K134" s="175"/>
      <c r="L134" s="175"/>
      <c r="M134" s="175"/>
      <c r="N134" s="56"/>
      <c r="O134" s="56"/>
      <c r="P134" s="56"/>
      <c r="Q134" s="56"/>
      <c r="R134" s="58"/>
      <c r="AH134" s="19">
        <v>185</v>
      </c>
      <c r="AI134" s="19"/>
      <c r="AJ134" s="19"/>
      <c r="AK134" s="19"/>
      <c r="AL134" s="19">
        <v>185</v>
      </c>
      <c r="AM134" s="19"/>
      <c r="AN134" s="19"/>
      <c r="AO134" s="19"/>
      <c r="BI134" t="s">
        <v>76</v>
      </c>
      <c r="BJ134">
        <v>5</v>
      </c>
      <c r="BK134" s="13">
        <f>ROUND( 1.1438*E96^0.0852,3)</f>
        <v>0</v>
      </c>
      <c r="BL134"/>
      <c r="BM134"/>
      <c r="BN134"/>
      <c r="BO134"/>
      <c r="BP134"/>
      <c r="BQ134"/>
      <c r="BR134"/>
    </row>
    <row r="135" spans="1:70" x14ac:dyDescent="0.25">
      <c r="A135" s="18"/>
      <c r="B135" s="23"/>
      <c r="C135" s="23"/>
      <c r="D135" s="24"/>
      <c r="E135" s="1"/>
      <c r="F135" s="25"/>
      <c r="G135" s="25"/>
      <c r="H135" s="23"/>
      <c r="I135" s="26"/>
      <c r="J135" s="23"/>
      <c r="K135" s="23"/>
      <c r="L135" s="24"/>
      <c r="M135" s="1"/>
      <c r="AH135" s="19">
        <v>240</v>
      </c>
      <c r="AI135" s="19"/>
      <c r="AJ135" s="19"/>
      <c r="AK135" s="19"/>
      <c r="AL135" s="19">
        <v>240</v>
      </c>
      <c r="AM135" s="19"/>
      <c r="AN135" s="19"/>
      <c r="AO135" s="19"/>
      <c r="BI135" t="s">
        <v>77</v>
      </c>
      <c r="BJ135">
        <v>6</v>
      </c>
      <c r="BK135" s="13">
        <f>ROUND(1.1988*E96^0.0817,3)</f>
        <v>0</v>
      </c>
      <c r="BL135"/>
      <c r="BM135"/>
      <c r="BN135"/>
      <c r="BO135"/>
      <c r="BP135"/>
      <c r="BQ135"/>
      <c r="BR135"/>
    </row>
    <row r="136" spans="1:70" ht="18" x14ac:dyDescent="0.35">
      <c r="A136" s="18"/>
      <c r="B136" s="18"/>
      <c r="C136" s="18"/>
      <c r="D136" s="18"/>
      <c r="E136" s="18"/>
      <c r="F136" s="18"/>
      <c r="G136" s="18"/>
      <c r="H136" s="18"/>
      <c r="I136" s="18"/>
      <c r="J136" s="18"/>
      <c r="K136" s="18"/>
      <c r="L136" s="18"/>
      <c r="AH136" s="19"/>
      <c r="AI136" s="19"/>
      <c r="AJ136" s="19"/>
      <c r="AK136" s="19"/>
      <c r="AL136" s="19"/>
      <c r="AM136" s="19"/>
      <c r="AN136" s="19"/>
      <c r="AO136" s="19"/>
      <c r="BI136" t="s">
        <v>78</v>
      </c>
      <c r="BJ136">
        <v>7</v>
      </c>
      <c r="BK136" s="13">
        <f>ROUND(1.2592*E96^0.0769,3)</f>
        <v>0</v>
      </c>
      <c r="BL136"/>
      <c r="BM136"/>
      <c r="BN136"/>
      <c r="BO136"/>
      <c r="BP136"/>
      <c r="BQ136"/>
      <c r="BR136"/>
    </row>
    <row r="137" spans="1:70" ht="18" x14ac:dyDescent="0.35">
      <c r="B137" s="7"/>
      <c r="I137" s="23"/>
      <c r="J137" s="23"/>
      <c r="K137" s="24"/>
      <c r="L137" s="1"/>
      <c r="M137" s="23"/>
      <c r="N137" s="23"/>
      <c r="O137" s="23"/>
      <c r="P137" s="23"/>
      <c r="Q137" s="24"/>
      <c r="R137" s="27"/>
      <c r="AH137" s="19"/>
      <c r="AI137" s="19"/>
      <c r="AJ137" s="19"/>
      <c r="AK137" s="19"/>
      <c r="AL137" s="19"/>
      <c r="AM137" s="19"/>
      <c r="AN137" s="19"/>
      <c r="AO137" s="19"/>
      <c r="BI137" t="s">
        <v>79</v>
      </c>
      <c r="BJ137">
        <v>8</v>
      </c>
      <c r="BK137" s="13">
        <f>ROUND(1.3128*E96^0.0734,3)</f>
        <v>0</v>
      </c>
      <c r="BL137"/>
      <c r="BM137"/>
      <c r="BN137"/>
      <c r="BO137"/>
      <c r="BP137"/>
      <c r="BQ137"/>
      <c r="BR137"/>
    </row>
    <row r="138" spans="1:70" ht="18" x14ac:dyDescent="0.35">
      <c r="B138" s="7"/>
      <c r="R138" s="27"/>
      <c r="AH138"/>
      <c r="AI138"/>
      <c r="AJ138"/>
      <c r="AK138"/>
      <c r="AL138"/>
      <c r="AM138"/>
      <c r="AN138"/>
      <c r="AO138"/>
      <c r="BI138" t="s">
        <v>80</v>
      </c>
      <c r="BJ138">
        <v>9</v>
      </c>
      <c r="BK138" s="13">
        <f>ROUND(1.3706*E96^0.0684,3)</f>
        <v>0</v>
      </c>
      <c r="BL138"/>
      <c r="BM138"/>
      <c r="BN138"/>
      <c r="BO138"/>
      <c r="BP138"/>
      <c r="BQ138"/>
      <c r="BR138"/>
    </row>
    <row r="139" spans="1:70" ht="18" x14ac:dyDescent="0.35">
      <c r="B139" s="7"/>
      <c r="R139" s="27"/>
      <c r="AH139"/>
      <c r="AI139"/>
      <c r="AJ139" s="233"/>
      <c r="AK139" s="233"/>
      <c r="AL139"/>
      <c r="AM139"/>
      <c r="AN139"/>
      <c r="AO139"/>
      <c r="BI139" t="s">
        <v>81</v>
      </c>
      <c r="BJ139">
        <v>10</v>
      </c>
      <c r="BK139" s="13">
        <f>ROUND(1.4302*E96^0.0641,3)</f>
        <v>0</v>
      </c>
      <c r="BL139"/>
      <c r="BM139"/>
      <c r="BN139"/>
      <c r="BO139"/>
      <c r="BP139"/>
      <c r="BQ139"/>
      <c r="BR139"/>
    </row>
    <row r="140" spans="1:70" x14ac:dyDescent="0.25">
      <c r="B140" s="7"/>
      <c r="I140" s="23"/>
      <c r="J140" s="23"/>
      <c r="K140" s="24"/>
      <c r="L140" s="1"/>
      <c r="M140" s="23"/>
      <c r="N140" s="23"/>
      <c r="O140" s="23"/>
      <c r="P140" s="23"/>
      <c r="Q140" s="24"/>
      <c r="R140" s="27"/>
      <c r="AH140"/>
      <c r="AI140"/>
      <c r="AJ140" s="230" t="s">
        <v>4</v>
      </c>
      <c r="AK140" s="230"/>
      <c r="AL140"/>
      <c r="AM140"/>
      <c r="AN140"/>
      <c r="AO140"/>
      <c r="BI140"/>
      <c r="BJ140"/>
      <c r="BK140"/>
      <c r="BL140"/>
      <c r="BM140"/>
      <c r="BN140"/>
      <c r="BO140"/>
      <c r="BP140"/>
      <c r="BQ140"/>
      <c r="BR140"/>
    </row>
    <row r="141" spans="1:70" ht="15" customHeight="1" x14ac:dyDescent="0.25">
      <c r="A141" s="18"/>
      <c r="B141" s="18"/>
      <c r="C141" s="18"/>
      <c r="D141" s="18"/>
      <c r="E141" s="18"/>
      <c r="F141" s="18"/>
      <c r="G141" s="18"/>
      <c r="H141" s="18"/>
      <c r="I141" s="18"/>
      <c r="J141" s="18"/>
      <c r="K141" s="18"/>
      <c r="L141" s="18"/>
      <c r="AH141" s="21" t="s">
        <v>8</v>
      </c>
      <c r="AI141"/>
      <c r="AJ141" s="21" t="s">
        <v>11</v>
      </c>
      <c r="AK141" s="21" t="s">
        <v>12</v>
      </c>
      <c r="AL141" s="21" t="s">
        <v>8</v>
      </c>
      <c r="AM141"/>
      <c r="AN141"/>
      <c r="AO141"/>
      <c r="BI141" t="s">
        <v>51</v>
      </c>
      <c r="BJ141">
        <f>INDEX($BJ$130:$BK$139,MATCH($BN$129,$BJ$130:$BJ$139,3),2)</f>
        <v>0</v>
      </c>
      <c r="BK141"/>
      <c r="BL141"/>
      <c r="BM141"/>
      <c r="BN141"/>
      <c r="BO141"/>
      <c r="BP141"/>
      <c r="BQ141"/>
      <c r="BR141"/>
    </row>
    <row r="142" spans="1:70" x14ac:dyDescent="0.25">
      <c r="A142" s="18"/>
      <c r="B142" s="18"/>
      <c r="C142" s="18"/>
      <c r="D142" s="18"/>
      <c r="E142" s="18"/>
      <c r="F142" s="18"/>
      <c r="G142" s="18"/>
      <c r="H142" s="18"/>
      <c r="I142" s="18"/>
      <c r="J142" s="18"/>
      <c r="K142" s="18"/>
      <c r="L142" s="18"/>
      <c r="AH142" s="21" t="s">
        <v>7</v>
      </c>
      <c r="AI142"/>
      <c r="AJ142" s="21" t="s">
        <v>1</v>
      </c>
      <c r="AK142" s="21" t="s">
        <v>13</v>
      </c>
      <c r="AL142" s="21" t="s">
        <v>7</v>
      </c>
      <c r="AM142"/>
      <c r="AN142"/>
      <c r="AO142"/>
      <c r="BI142"/>
      <c r="BJ142"/>
      <c r="BK142"/>
      <c r="BL142"/>
      <c r="BM142"/>
      <c r="BN142"/>
      <c r="BO142"/>
      <c r="BP142"/>
      <c r="BQ142"/>
      <c r="BR142"/>
    </row>
    <row r="143" spans="1:70" x14ac:dyDescent="0.25">
      <c r="A143" s="18"/>
      <c r="B143" s="7"/>
      <c r="F143" s="18"/>
      <c r="G143" s="18"/>
      <c r="H143" s="18"/>
      <c r="I143" s="18"/>
      <c r="J143" s="18"/>
      <c r="K143" s="18"/>
      <c r="L143" s="18"/>
      <c r="AH143" s="21"/>
      <c r="AI143"/>
      <c r="AJ143" s="21">
        <v>-1</v>
      </c>
      <c r="AK143" s="21">
        <v>0</v>
      </c>
      <c r="AL143" s="21">
        <v>-1</v>
      </c>
      <c r="AM143"/>
      <c r="AN143"/>
      <c r="AO143"/>
    </row>
    <row r="144" spans="1:70" x14ac:dyDescent="0.25">
      <c r="A144" s="18"/>
      <c r="B144" s="7"/>
      <c r="F144" s="18"/>
      <c r="G144" s="18"/>
      <c r="H144" s="18"/>
      <c r="I144" s="18"/>
      <c r="J144" s="18"/>
      <c r="K144" s="18"/>
      <c r="L144" s="18"/>
      <c r="AH144" s="22">
        <v>1.5</v>
      </c>
      <c r="AI144"/>
      <c r="AJ144" s="22">
        <v>9</v>
      </c>
      <c r="AK144" s="22">
        <v>1.3</v>
      </c>
      <c r="AL144" s="22">
        <v>1.5</v>
      </c>
      <c r="AM144"/>
      <c r="AN144"/>
      <c r="AO144"/>
    </row>
    <row r="145" spans="1:68" x14ac:dyDescent="0.25">
      <c r="A145" s="18"/>
      <c r="B145" s="7"/>
      <c r="F145" s="18"/>
      <c r="G145" s="18"/>
      <c r="H145" s="18"/>
      <c r="I145" s="18"/>
      <c r="J145" s="18"/>
      <c r="K145" s="18"/>
      <c r="L145" s="18"/>
      <c r="AH145" s="22">
        <v>2.5</v>
      </c>
      <c r="AI145"/>
      <c r="AJ145" s="22">
        <v>13</v>
      </c>
      <c r="AK145" s="22">
        <v>1.5</v>
      </c>
      <c r="AL145" s="22">
        <v>2.5</v>
      </c>
      <c r="AM145"/>
      <c r="AN145"/>
      <c r="AO145"/>
    </row>
    <row r="146" spans="1:68" x14ac:dyDescent="0.25">
      <c r="A146" s="18"/>
      <c r="B146" s="7"/>
      <c r="F146" s="18"/>
      <c r="G146" s="18"/>
      <c r="H146" s="18"/>
      <c r="I146" s="18"/>
      <c r="J146" s="18"/>
      <c r="K146" s="18"/>
      <c r="L146" s="18"/>
      <c r="AH146" s="22">
        <v>4</v>
      </c>
      <c r="AI146"/>
      <c r="AJ146" s="22">
        <v>18</v>
      </c>
      <c r="AK146" s="22">
        <v>1.7</v>
      </c>
      <c r="AL146" s="22">
        <v>4</v>
      </c>
      <c r="AM146"/>
      <c r="AN146"/>
      <c r="AO146"/>
    </row>
    <row r="147" spans="1:68" x14ac:dyDescent="0.25">
      <c r="A147" s="18"/>
      <c r="B147" s="7"/>
      <c r="F147" s="18"/>
      <c r="G147" s="18"/>
      <c r="H147" s="18"/>
      <c r="I147" s="18"/>
      <c r="J147" s="18"/>
      <c r="K147" s="18"/>
      <c r="L147" s="18"/>
      <c r="AH147" s="22">
        <v>6</v>
      </c>
      <c r="AI147"/>
      <c r="AJ147" s="22">
        <v>23</v>
      </c>
      <c r="AK147" s="22">
        <v>2</v>
      </c>
      <c r="AL147" s="22">
        <v>6</v>
      </c>
      <c r="AM147"/>
      <c r="AN147"/>
      <c r="AO147"/>
      <c r="BI147"/>
      <c r="BJ147"/>
      <c r="BK147"/>
      <c r="BL147"/>
      <c r="BM147"/>
      <c r="BN147"/>
      <c r="BO147"/>
      <c r="BP147"/>
    </row>
    <row r="148" spans="1:68" ht="18" x14ac:dyDescent="0.35">
      <c r="A148" s="18"/>
      <c r="B148" s="7"/>
      <c r="F148" s="18"/>
      <c r="G148" s="18"/>
      <c r="H148" s="18"/>
      <c r="I148" s="18"/>
      <c r="J148" s="18"/>
      <c r="K148" s="18"/>
      <c r="L148" s="18"/>
      <c r="AH148" s="22">
        <v>10</v>
      </c>
      <c r="AI148"/>
      <c r="AJ148" s="22">
        <v>32</v>
      </c>
      <c r="AK148" s="22">
        <v>2.2999999999999998</v>
      </c>
      <c r="AL148" s="22">
        <v>10</v>
      </c>
      <c r="AM148"/>
      <c r="AN148"/>
      <c r="AO148"/>
      <c r="BI148" s="12" t="s">
        <v>47</v>
      </c>
      <c r="BJ148"/>
      <c r="BK148"/>
      <c r="BL148"/>
      <c r="BM148"/>
      <c r="BN148"/>
      <c r="BO148"/>
      <c r="BP148"/>
    </row>
    <row r="149" spans="1:68" x14ac:dyDescent="0.25">
      <c r="A149" s="18"/>
      <c r="B149" s="7"/>
      <c r="F149" s="18"/>
      <c r="G149" s="18"/>
      <c r="H149" s="18"/>
      <c r="I149" s="18"/>
      <c r="J149" s="18"/>
      <c r="K149" s="18"/>
      <c r="L149" s="18"/>
      <c r="AH149" s="22">
        <v>16</v>
      </c>
      <c r="AI149"/>
      <c r="AJ149" s="22">
        <v>44</v>
      </c>
      <c r="AK149" s="22">
        <v>2.7</v>
      </c>
      <c r="AL149" s="22">
        <v>16</v>
      </c>
      <c r="AM149"/>
      <c r="AN149"/>
      <c r="AO149"/>
      <c r="BI149" t="s">
        <v>37</v>
      </c>
      <c r="BJ149"/>
      <c r="BK149"/>
      <c r="BL149"/>
      <c r="BM149"/>
      <c r="BN149"/>
      <c r="BO149"/>
      <c r="BP149"/>
    </row>
    <row r="150" spans="1:68" x14ac:dyDescent="0.25">
      <c r="A150" s="18"/>
      <c r="B150" s="7"/>
      <c r="F150" s="18"/>
      <c r="G150" s="18"/>
      <c r="H150" s="18"/>
      <c r="I150" s="18"/>
      <c r="J150" s="18"/>
      <c r="K150" s="18"/>
      <c r="L150" s="18"/>
      <c r="AH150" s="22">
        <v>25</v>
      </c>
      <c r="AI150"/>
      <c r="AJ150" s="22">
        <v>59</v>
      </c>
      <c r="AK150" s="22">
        <v>3</v>
      </c>
      <c r="AL150" s="22">
        <v>25</v>
      </c>
      <c r="AM150"/>
      <c r="AN150"/>
      <c r="AO150"/>
      <c r="BI150">
        <f>(C74/1000)/(C75/1000)</f>
        <v>2.5</v>
      </c>
      <c r="BJ150"/>
      <c r="BK150"/>
      <c r="BL150"/>
      <c r="BM150"/>
      <c r="BN150"/>
      <c r="BO150"/>
      <c r="BP150"/>
    </row>
    <row r="151" spans="1:68" x14ac:dyDescent="0.25">
      <c r="A151" s="18"/>
      <c r="B151" s="7"/>
      <c r="F151" s="18"/>
      <c r="G151" s="18"/>
      <c r="H151" s="18"/>
      <c r="I151" s="18"/>
      <c r="J151" s="18"/>
      <c r="K151" s="18"/>
      <c r="L151" s="18"/>
      <c r="AH151" s="22">
        <v>35</v>
      </c>
      <c r="AI151"/>
      <c r="AJ151" s="22">
        <v>74</v>
      </c>
      <c r="AK151" s="22">
        <v>3.4</v>
      </c>
      <c r="AL151" s="22">
        <v>35</v>
      </c>
      <c r="AM151"/>
      <c r="AN151"/>
      <c r="AO151"/>
      <c r="BI151"/>
      <c r="BJ151"/>
      <c r="BK151"/>
      <c r="BL151"/>
      <c r="BM151"/>
      <c r="BN151"/>
      <c r="BO151"/>
      <c r="BP151"/>
    </row>
    <row r="152" spans="1:68" x14ac:dyDescent="0.25">
      <c r="A152" s="18"/>
      <c r="B152" s="7"/>
      <c r="F152" s="18"/>
      <c r="G152" s="18"/>
      <c r="H152" s="18"/>
      <c r="I152" s="18"/>
      <c r="J152" s="18"/>
      <c r="K152" s="18"/>
      <c r="L152" s="18"/>
      <c r="AH152" s="22">
        <v>50</v>
      </c>
      <c r="AI152"/>
      <c r="AJ152" s="22">
        <v>90</v>
      </c>
      <c r="AK152" s="22">
        <v>3.7</v>
      </c>
      <c r="AL152" s="22">
        <v>50</v>
      </c>
      <c r="AM152"/>
      <c r="AN152"/>
      <c r="AO152"/>
      <c r="BI152" t="s">
        <v>48</v>
      </c>
      <c r="BJ152"/>
      <c r="BK152"/>
      <c r="BL152"/>
      <c r="BM152"/>
      <c r="BN152"/>
      <c r="BO152"/>
      <c r="BP152"/>
    </row>
    <row r="153" spans="1:68" x14ac:dyDescent="0.25">
      <c r="A153" s="18"/>
      <c r="B153" s="7"/>
      <c r="F153" s="18"/>
      <c r="G153" s="18"/>
      <c r="H153" s="18"/>
      <c r="I153" s="18"/>
      <c r="J153" s="18"/>
      <c r="K153" s="18"/>
      <c r="L153" s="18"/>
      <c r="AH153" s="22">
        <v>70</v>
      </c>
      <c r="AI153"/>
      <c r="AJ153" s="22">
        <v>116</v>
      </c>
      <c r="AK153" s="22">
        <v>4.3</v>
      </c>
      <c r="AL153" s="22">
        <v>70</v>
      </c>
      <c r="AM153"/>
      <c r="AN153"/>
      <c r="AO153"/>
      <c r="BI153" t="s">
        <v>49</v>
      </c>
      <c r="BJ153" s="11">
        <f>ROUNDUP(0.635*G89^-0.724,3)</f>
        <v>0.18</v>
      </c>
      <c r="BK153"/>
      <c r="BL153"/>
      <c r="BM153"/>
      <c r="BN153"/>
      <c r="BO153"/>
      <c r="BP153"/>
    </row>
    <row r="154" spans="1:68" x14ac:dyDescent="0.25">
      <c r="A154" s="18"/>
      <c r="B154" s="23"/>
      <c r="C154" s="23"/>
      <c r="F154" s="18"/>
      <c r="G154" s="18"/>
      <c r="H154" s="18"/>
      <c r="I154" s="18"/>
      <c r="J154" s="18"/>
      <c r="K154" s="18"/>
      <c r="L154" s="18"/>
      <c r="AH154" s="22">
        <v>95</v>
      </c>
      <c r="AI154"/>
      <c r="AJ154" s="22">
        <v>142</v>
      </c>
      <c r="AK154" s="22">
        <v>4.7</v>
      </c>
      <c r="AL154" s="22">
        <v>95</v>
      </c>
      <c r="AM154"/>
      <c r="AN154"/>
      <c r="AO154"/>
      <c r="BI154"/>
      <c r="BJ154"/>
      <c r="BK154"/>
      <c r="BL154"/>
      <c r="BM154"/>
      <c r="BN154"/>
      <c r="BO154"/>
      <c r="BP154"/>
    </row>
    <row r="155" spans="1:68" x14ac:dyDescent="0.25">
      <c r="A155" s="18"/>
      <c r="B155" s="23"/>
      <c r="C155" s="23"/>
      <c r="F155" s="18"/>
      <c r="G155" s="18"/>
      <c r="H155" s="18"/>
      <c r="I155" s="18"/>
      <c r="J155" s="18"/>
      <c r="K155" s="18"/>
      <c r="L155" s="18"/>
      <c r="AH155" s="19">
        <v>120</v>
      </c>
      <c r="AI155"/>
      <c r="AJ155" s="19">
        <v>165</v>
      </c>
      <c r="AK155" s="19">
        <v>5</v>
      </c>
      <c r="AL155" s="19">
        <v>120</v>
      </c>
      <c r="AM155"/>
      <c r="AN155"/>
      <c r="AO155"/>
      <c r="BI155"/>
      <c r="BJ155"/>
      <c r="BK155"/>
      <c r="BL155"/>
      <c r="BM155"/>
      <c r="BN155"/>
      <c r="BO155"/>
      <c r="BP155"/>
    </row>
    <row r="156" spans="1:68" x14ac:dyDescent="0.25">
      <c r="A156" s="18"/>
      <c r="B156" s="23"/>
      <c r="C156" s="23"/>
      <c r="F156" s="18"/>
      <c r="G156" s="18"/>
      <c r="H156" s="18"/>
      <c r="I156" s="18"/>
      <c r="J156" s="18"/>
      <c r="K156" s="18"/>
      <c r="L156" s="18"/>
      <c r="AH156" s="19">
        <v>150</v>
      </c>
      <c r="AI156"/>
      <c r="AJ156" s="19">
        <v>191</v>
      </c>
      <c r="AK156" s="19">
        <v>5.4</v>
      </c>
      <c r="AL156" s="19">
        <v>150</v>
      </c>
      <c r="AM156"/>
      <c r="AN156"/>
      <c r="AO156"/>
      <c r="BI156" t="s">
        <v>50</v>
      </c>
      <c r="BJ156"/>
      <c r="BK156"/>
      <c r="BL156"/>
      <c r="BM156"/>
      <c r="BN156"/>
      <c r="BO156"/>
      <c r="BP156"/>
    </row>
    <row r="157" spans="1:68" x14ac:dyDescent="0.25">
      <c r="A157" s="18"/>
      <c r="B157" s="18"/>
      <c r="C157" s="18"/>
      <c r="D157" s="18"/>
      <c r="E157" s="18"/>
      <c r="F157" s="18"/>
      <c r="G157" s="18"/>
      <c r="H157" s="18"/>
      <c r="I157" s="18"/>
      <c r="J157" s="18"/>
      <c r="K157" s="18"/>
      <c r="L157" s="18"/>
      <c r="AH157" s="19">
        <v>185</v>
      </c>
      <c r="AI157"/>
      <c r="AJ157" s="19">
        <v>220</v>
      </c>
      <c r="AK157" s="19">
        <v>5.7</v>
      </c>
      <c r="AL157" s="19">
        <v>185</v>
      </c>
      <c r="AM157"/>
      <c r="AN157"/>
      <c r="AO157"/>
      <c r="BI157" t="s">
        <v>51</v>
      </c>
      <c r="BJ157">
        <f>ROUNDUP(-0.0052*BI150^5 + 0.0472*BI150^4 - 0.142*BI150^3 + 0.112*BI150^2 + 0.1732*BI150 + 1.0004,3)</f>
        <v>1.2509999999999999</v>
      </c>
      <c r="BK157"/>
      <c r="BL157"/>
      <c r="BM157"/>
      <c r="BN157"/>
      <c r="BO157"/>
      <c r="BP157"/>
    </row>
    <row r="158" spans="1:68" x14ac:dyDescent="0.25">
      <c r="A158" s="18"/>
      <c r="B158" s="18"/>
      <c r="C158" s="18"/>
      <c r="D158" s="18"/>
      <c r="E158" s="18"/>
      <c r="F158" s="18"/>
      <c r="G158" s="18"/>
      <c r="H158" s="18"/>
      <c r="I158" s="18"/>
      <c r="J158" s="18"/>
      <c r="K158" s="18"/>
      <c r="L158" s="18"/>
      <c r="AH158" s="19">
        <v>240</v>
      </c>
      <c r="AI158"/>
      <c r="AJ158" s="19">
        <v>260</v>
      </c>
      <c r="AK158" s="19">
        <v>6.1</v>
      </c>
      <c r="AL158" s="19">
        <v>240</v>
      </c>
      <c r="AM158"/>
      <c r="AN158"/>
      <c r="AO158"/>
      <c r="BI158"/>
      <c r="BJ158"/>
      <c r="BK158"/>
      <c r="BL158"/>
      <c r="BM158"/>
      <c r="BN158"/>
      <c r="BO158"/>
      <c r="BP158"/>
    </row>
    <row r="159" spans="1:68" x14ac:dyDescent="0.25">
      <c r="A159" s="18"/>
      <c r="B159" s="18"/>
      <c r="C159" s="18"/>
      <c r="D159" s="18"/>
      <c r="E159" s="18"/>
      <c r="F159" s="18"/>
      <c r="G159" s="18"/>
      <c r="H159" s="18"/>
      <c r="I159" s="18"/>
      <c r="J159" s="18"/>
      <c r="K159" s="18"/>
      <c r="L159" s="18"/>
      <c r="AH159"/>
      <c r="AI159"/>
      <c r="AJ159"/>
      <c r="AK159"/>
      <c r="AL159"/>
      <c r="AM159"/>
      <c r="AN159"/>
      <c r="AO159"/>
      <c r="BI159"/>
      <c r="BJ159"/>
      <c r="BK159"/>
      <c r="BL159"/>
      <c r="BM159"/>
      <c r="BN159"/>
      <c r="BO159"/>
      <c r="BP159"/>
    </row>
    <row r="160" spans="1:68" x14ac:dyDescent="0.25">
      <c r="A160" s="18"/>
      <c r="B160" s="18"/>
      <c r="C160" s="18"/>
      <c r="D160" s="18"/>
      <c r="E160" s="18"/>
      <c r="F160" s="18"/>
      <c r="G160" s="18"/>
      <c r="H160" s="18"/>
      <c r="I160" s="18"/>
      <c r="J160" s="18"/>
      <c r="K160" s="18"/>
      <c r="L160" s="18"/>
      <c r="AH160"/>
      <c r="AI160"/>
      <c r="AJ160"/>
      <c r="AK160"/>
      <c r="AL160"/>
      <c r="AM160"/>
      <c r="AN160"/>
      <c r="AO160"/>
      <c r="BI160"/>
      <c r="BJ160"/>
      <c r="BK160"/>
      <c r="BL160"/>
      <c r="BM160"/>
      <c r="BN160"/>
      <c r="BO160"/>
      <c r="BP160"/>
    </row>
    <row r="161" spans="1:68" x14ac:dyDescent="0.25">
      <c r="A161" s="18"/>
      <c r="B161" s="18"/>
      <c r="C161" s="18"/>
      <c r="D161" s="18"/>
      <c r="E161" s="18"/>
      <c r="F161" s="18"/>
      <c r="G161" s="18"/>
      <c r="H161" s="18"/>
      <c r="I161" s="18"/>
      <c r="J161" s="18"/>
      <c r="K161" s="18"/>
      <c r="L161" s="18"/>
      <c r="AH161"/>
      <c r="AI161"/>
      <c r="AJ161"/>
      <c r="AK161"/>
      <c r="AL161"/>
      <c r="AM161"/>
      <c r="AN161"/>
      <c r="AO161"/>
      <c r="BI161"/>
      <c r="BJ161"/>
      <c r="BK161"/>
      <c r="BL161"/>
      <c r="BM161"/>
      <c r="BN161"/>
      <c r="BO161"/>
      <c r="BP161"/>
    </row>
    <row r="162" spans="1:68" x14ac:dyDescent="0.25">
      <c r="A162" s="18"/>
      <c r="B162" s="18"/>
      <c r="C162" s="18"/>
      <c r="D162" s="18"/>
      <c r="E162" s="18"/>
      <c r="F162" s="18"/>
      <c r="G162" s="18"/>
      <c r="H162" s="18"/>
      <c r="I162" s="18"/>
      <c r="J162" s="18"/>
      <c r="K162" s="18"/>
      <c r="L162" s="18"/>
      <c r="AH162"/>
      <c r="AI162"/>
      <c r="AJ162" s="234" t="s">
        <v>6</v>
      </c>
      <c r="AK162" s="235"/>
      <c r="AL162"/>
      <c r="AM162"/>
      <c r="AN162"/>
      <c r="AO162"/>
    </row>
    <row r="163" spans="1:68" x14ac:dyDescent="0.25">
      <c r="A163" s="18"/>
      <c r="B163" s="18"/>
      <c r="C163" s="18"/>
      <c r="D163" s="18"/>
      <c r="E163" s="18"/>
      <c r="F163" s="18"/>
      <c r="G163" s="18"/>
      <c r="H163" s="18"/>
      <c r="I163" s="18"/>
      <c r="J163" s="18"/>
      <c r="K163" s="18"/>
      <c r="L163" s="18"/>
      <c r="AH163"/>
      <c r="AI163"/>
      <c r="AJ163" s="230" t="s">
        <v>5</v>
      </c>
      <c r="AK163" s="230"/>
      <c r="AL163"/>
      <c r="AM163"/>
      <c r="AN163"/>
      <c r="AO163"/>
    </row>
    <row r="164" spans="1:68" ht="33" x14ac:dyDescent="0.25">
      <c r="A164" s="18"/>
      <c r="B164" s="18"/>
      <c r="C164" s="18"/>
      <c r="D164" s="18"/>
      <c r="E164" s="18"/>
      <c r="F164" s="18"/>
      <c r="G164" s="18"/>
      <c r="H164" s="18"/>
      <c r="I164" s="18"/>
      <c r="J164" s="18"/>
      <c r="K164" s="18"/>
      <c r="L164" s="18"/>
      <c r="AH164" s="21" t="s">
        <v>8</v>
      </c>
      <c r="AI164"/>
      <c r="AJ164" s="21" t="s">
        <v>11</v>
      </c>
      <c r="AK164" s="21" t="s">
        <v>12</v>
      </c>
      <c r="AL164" s="21" t="s">
        <v>8</v>
      </c>
      <c r="AM164"/>
      <c r="AN164"/>
      <c r="AO164"/>
    </row>
    <row r="165" spans="1:68" x14ac:dyDescent="0.25">
      <c r="A165" s="18"/>
      <c r="B165" s="18"/>
      <c r="C165" s="18"/>
      <c r="D165" s="18"/>
      <c r="E165" s="18"/>
      <c r="F165" s="18"/>
      <c r="G165" s="18"/>
      <c r="H165" s="18"/>
      <c r="I165" s="18"/>
      <c r="J165" s="18"/>
      <c r="K165" s="18"/>
      <c r="L165" s="18"/>
      <c r="AH165" s="21" t="s">
        <v>7</v>
      </c>
      <c r="AI165"/>
      <c r="AJ165" s="21" t="s">
        <v>1</v>
      </c>
      <c r="AK165" s="21" t="s">
        <v>13</v>
      </c>
      <c r="AL165" s="21" t="s">
        <v>7</v>
      </c>
      <c r="AM165"/>
      <c r="AN165"/>
      <c r="AO165" s="4"/>
    </row>
    <row r="166" spans="1:68" x14ac:dyDescent="0.25">
      <c r="A166" s="18"/>
      <c r="B166" s="18"/>
      <c r="C166" s="18"/>
      <c r="D166" s="18"/>
      <c r="E166" s="18"/>
      <c r="F166" s="18"/>
      <c r="G166" s="18"/>
      <c r="H166" s="18"/>
      <c r="I166" s="18"/>
      <c r="J166" s="18"/>
      <c r="K166" s="18"/>
      <c r="L166" s="18"/>
      <c r="AH166" s="21"/>
      <c r="AI166"/>
      <c r="AJ166" s="21">
        <v>-1</v>
      </c>
      <c r="AK166" s="21">
        <v>0</v>
      </c>
      <c r="AL166" s="21">
        <v>-1</v>
      </c>
      <c r="AM166"/>
      <c r="AN166"/>
      <c r="AO166" s="4"/>
    </row>
    <row r="167" spans="1:68" x14ac:dyDescent="0.25">
      <c r="A167" s="18"/>
      <c r="B167" s="18"/>
      <c r="C167" s="18"/>
      <c r="D167" s="18"/>
      <c r="E167" s="18"/>
      <c r="F167" s="18"/>
      <c r="G167" s="18"/>
      <c r="H167" s="18"/>
      <c r="I167" s="18"/>
      <c r="J167" s="18"/>
      <c r="K167" s="18"/>
      <c r="L167" s="18"/>
      <c r="AH167" s="22">
        <v>1.5</v>
      </c>
      <c r="AI167"/>
      <c r="AJ167" s="5">
        <v>15</v>
      </c>
      <c r="AK167" s="22">
        <v>3.2</v>
      </c>
      <c r="AL167" s="22">
        <v>1.5</v>
      </c>
      <c r="AM167"/>
      <c r="AN167"/>
      <c r="AO167" s="4"/>
    </row>
    <row r="168" spans="1:68" x14ac:dyDescent="0.25">
      <c r="A168" s="18"/>
      <c r="B168" s="18"/>
      <c r="C168" s="18"/>
      <c r="D168" s="18"/>
      <c r="E168" s="18"/>
      <c r="F168" s="18"/>
      <c r="G168" s="18"/>
      <c r="H168" s="18"/>
      <c r="I168" s="18"/>
      <c r="J168" s="18"/>
      <c r="K168" s="18"/>
      <c r="L168" s="18"/>
      <c r="AH168" s="22">
        <v>2.5</v>
      </c>
      <c r="AI168"/>
      <c r="AJ168" s="5">
        <v>21</v>
      </c>
      <c r="AK168" s="22">
        <v>3.7</v>
      </c>
      <c r="AL168" s="22">
        <v>2.5</v>
      </c>
      <c r="AM168" s="22"/>
      <c r="AN168"/>
      <c r="AO168" s="4"/>
    </row>
    <row r="169" spans="1:68" x14ac:dyDescent="0.25">
      <c r="A169" s="18"/>
      <c r="B169" s="18"/>
      <c r="C169" s="18"/>
      <c r="D169" s="18"/>
      <c r="E169" s="18"/>
      <c r="F169" s="18"/>
      <c r="G169" s="18"/>
      <c r="H169" s="18"/>
      <c r="I169" s="18"/>
      <c r="J169" s="18"/>
      <c r="K169" s="18"/>
      <c r="L169" s="18"/>
      <c r="AH169" s="22">
        <v>4</v>
      </c>
      <c r="AI169"/>
      <c r="AJ169" s="5">
        <v>28</v>
      </c>
      <c r="AK169" s="22">
        <v>4.2</v>
      </c>
      <c r="AL169" s="22">
        <v>4</v>
      </c>
      <c r="AM169" s="22"/>
      <c r="AN169"/>
      <c r="AO169" s="4"/>
    </row>
    <row r="170" spans="1:68" x14ac:dyDescent="0.25">
      <c r="A170" s="18"/>
      <c r="B170" s="18"/>
      <c r="C170" s="18"/>
      <c r="D170" s="18"/>
      <c r="E170" s="18"/>
      <c r="F170" s="18"/>
      <c r="G170" s="18"/>
      <c r="H170" s="18"/>
      <c r="I170" s="18"/>
      <c r="J170" s="18"/>
      <c r="K170" s="18"/>
      <c r="L170" s="18"/>
      <c r="AH170" s="22">
        <v>6</v>
      </c>
      <c r="AI170"/>
      <c r="AJ170" s="5">
        <v>36</v>
      </c>
      <c r="AK170" s="22">
        <v>4.7</v>
      </c>
      <c r="AL170" s="22">
        <v>6</v>
      </c>
      <c r="AM170" s="22"/>
      <c r="AN170"/>
      <c r="AO170" s="4"/>
    </row>
    <row r="171" spans="1:68" x14ac:dyDescent="0.25">
      <c r="A171" s="18"/>
      <c r="B171" s="18"/>
      <c r="C171" s="18"/>
      <c r="D171" s="18"/>
      <c r="E171" s="18"/>
      <c r="F171" s="18"/>
      <c r="G171" s="18"/>
      <c r="H171" s="18"/>
      <c r="I171" s="18"/>
      <c r="J171" s="18"/>
      <c r="K171" s="18"/>
      <c r="L171" s="18"/>
      <c r="AH171" s="22">
        <v>10</v>
      </c>
      <c r="AI171"/>
      <c r="AJ171" s="5">
        <v>50</v>
      </c>
      <c r="AK171" s="22">
        <v>5.4</v>
      </c>
      <c r="AL171" s="22">
        <v>10</v>
      </c>
      <c r="AM171"/>
      <c r="AN171"/>
      <c r="AO171" s="4"/>
    </row>
    <row r="172" spans="1:68" x14ac:dyDescent="0.25">
      <c r="A172" s="18"/>
      <c r="B172" s="18"/>
      <c r="C172" s="18"/>
      <c r="D172" s="18"/>
      <c r="E172" s="18"/>
      <c r="F172" s="18"/>
      <c r="G172" s="18"/>
      <c r="H172" s="18"/>
      <c r="I172" s="18"/>
      <c r="J172" s="18"/>
      <c r="K172" s="18"/>
      <c r="L172" s="18"/>
      <c r="AH172" s="22">
        <v>16</v>
      </c>
      <c r="AI172"/>
      <c r="AJ172" s="5">
        <v>67</v>
      </c>
      <c r="AK172" s="22">
        <v>6.2</v>
      </c>
      <c r="AL172" s="22">
        <v>16</v>
      </c>
      <c r="AM172"/>
      <c r="AN172"/>
      <c r="AO172" s="4"/>
    </row>
    <row r="173" spans="1:68" x14ac:dyDescent="0.25">
      <c r="A173" s="18"/>
      <c r="B173" s="18"/>
      <c r="C173" s="18"/>
      <c r="D173" s="18"/>
      <c r="E173" s="18"/>
      <c r="F173" s="18"/>
      <c r="G173" s="18"/>
      <c r="H173" s="18"/>
      <c r="I173" s="18"/>
      <c r="J173" s="18"/>
      <c r="K173" s="18"/>
      <c r="L173" s="18"/>
      <c r="AH173" s="22">
        <v>25</v>
      </c>
      <c r="AI173"/>
      <c r="AJ173" s="5">
        <v>89</v>
      </c>
      <c r="AK173" s="22">
        <v>6.9</v>
      </c>
      <c r="AL173" s="22">
        <v>25</v>
      </c>
      <c r="AM173"/>
      <c r="AN173"/>
      <c r="AO173" s="4"/>
    </row>
    <row r="174" spans="1:68" x14ac:dyDescent="0.25">
      <c r="A174" s="18"/>
      <c r="B174" s="18"/>
      <c r="C174" s="18"/>
      <c r="D174" s="18"/>
      <c r="E174" s="18"/>
      <c r="F174" s="18"/>
      <c r="G174" s="18"/>
      <c r="H174" s="18"/>
      <c r="I174" s="18"/>
      <c r="J174" s="18"/>
      <c r="K174" s="18"/>
      <c r="L174" s="18"/>
      <c r="AH174" s="22">
        <v>35</v>
      </c>
      <c r="AI174"/>
      <c r="AJ174" s="5">
        <v>110</v>
      </c>
      <c r="AK174" s="22">
        <v>7.7</v>
      </c>
      <c r="AL174" s="22">
        <v>35</v>
      </c>
      <c r="AM174"/>
      <c r="AN174"/>
      <c r="AO174" s="4"/>
    </row>
    <row r="175" spans="1:68" x14ac:dyDescent="0.25">
      <c r="A175" s="18"/>
      <c r="B175" s="18"/>
      <c r="C175" s="18"/>
      <c r="D175" s="18"/>
      <c r="E175" s="18"/>
      <c r="F175" s="18"/>
      <c r="G175" s="18"/>
      <c r="H175" s="18"/>
      <c r="I175" s="18"/>
      <c r="J175" s="18"/>
      <c r="K175" s="18"/>
      <c r="L175" s="18"/>
      <c r="AH175" s="22">
        <v>50</v>
      </c>
      <c r="AI175"/>
      <c r="AJ175" s="5">
        <v>134</v>
      </c>
      <c r="AK175" s="22">
        <v>8.3000000000000007</v>
      </c>
      <c r="AL175" s="22">
        <v>50</v>
      </c>
      <c r="AM175"/>
      <c r="AN175"/>
      <c r="AO175" s="4"/>
    </row>
    <row r="176" spans="1:68" x14ac:dyDescent="0.25">
      <c r="A176" s="18"/>
      <c r="B176" s="18"/>
      <c r="C176" s="18"/>
      <c r="D176" s="18"/>
      <c r="E176" s="18"/>
      <c r="F176" s="18"/>
      <c r="G176" s="18"/>
      <c r="H176" s="18"/>
      <c r="I176" s="18"/>
      <c r="J176" s="18"/>
      <c r="K176" s="18"/>
      <c r="L176" s="18"/>
      <c r="AH176" s="22">
        <v>70</v>
      </c>
      <c r="AI176"/>
      <c r="AJ176" s="5">
        <v>171</v>
      </c>
      <c r="AK176" s="22">
        <v>9.4</v>
      </c>
      <c r="AL176" s="22">
        <v>70</v>
      </c>
      <c r="AM176"/>
      <c r="AN176"/>
      <c r="AO176"/>
    </row>
    <row r="177" spans="1:41" x14ac:dyDescent="0.25">
      <c r="A177" s="18"/>
      <c r="B177" s="18"/>
      <c r="C177" s="18"/>
      <c r="D177" s="18"/>
      <c r="E177" s="18"/>
      <c r="F177" s="18"/>
      <c r="G177" s="18"/>
      <c r="H177" s="18"/>
      <c r="I177" s="18"/>
      <c r="J177" s="18"/>
      <c r="K177" s="18"/>
      <c r="L177" s="18"/>
      <c r="AH177" s="22">
        <v>95</v>
      </c>
      <c r="AI177"/>
      <c r="AJ177" s="5">
        <v>208</v>
      </c>
      <c r="AK177" s="22">
        <v>10</v>
      </c>
      <c r="AL177" s="22">
        <v>95</v>
      </c>
      <c r="AM177"/>
      <c r="AN177"/>
      <c r="AO177"/>
    </row>
    <row r="178" spans="1:41" x14ac:dyDescent="0.25">
      <c r="A178" s="18"/>
      <c r="B178" s="18"/>
      <c r="C178" s="18"/>
      <c r="D178" s="18"/>
      <c r="E178" s="18"/>
      <c r="F178" s="18"/>
      <c r="G178" s="18"/>
      <c r="H178" s="18"/>
      <c r="I178" s="18"/>
      <c r="J178" s="18"/>
      <c r="K178" s="18"/>
      <c r="L178" s="18"/>
      <c r="AH178" s="19">
        <v>120</v>
      </c>
      <c r="AI178"/>
      <c r="AJ178" s="6">
        <v>242</v>
      </c>
      <c r="AK178" s="19">
        <v>10.7</v>
      </c>
      <c r="AL178" s="19">
        <v>120</v>
      </c>
      <c r="AM178"/>
      <c r="AN178"/>
      <c r="AO178"/>
    </row>
    <row r="179" spans="1:41" x14ac:dyDescent="0.25">
      <c r="A179" s="18"/>
      <c r="B179" s="18"/>
      <c r="C179" s="18"/>
      <c r="D179" s="18"/>
      <c r="E179" s="18"/>
      <c r="F179" s="18"/>
      <c r="G179" s="18"/>
      <c r="H179" s="18"/>
      <c r="I179" s="18"/>
      <c r="J179" s="18"/>
      <c r="K179" s="18"/>
      <c r="L179" s="18"/>
      <c r="AH179" s="19">
        <v>150</v>
      </c>
      <c r="AI179"/>
      <c r="AJ179" s="6">
        <v>278</v>
      </c>
      <c r="AK179" s="19">
        <v>11.5</v>
      </c>
      <c r="AL179" s="19">
        <v>150</v>
      </c>
      <c r="AM179"/>
      <c r="AN179"/>
      <c r="AO179"/>
    </row>
    <row r="180" spans="1:41" x14ac:dyDescent="0.25">
      <c r="A180" s="18"/>
      <c r="B180" s="18"/>
      <c r="C180" s="18"/>
      <c r="D180" s="18"/>
      <c r="E180" s="18"/>
      <c r="F180" s="18"/>
      <c r="G180" s="18"/>
      <c r="H180" s="18"/>
      <c r="I180" s="18"/>
      <c r="J180" s="18"/>
      <c r="K180" s="18"/>
      <c r="L180" s="18"/>
      <c r="AH180" s="19">
        <v>185</v>
      </c>
      <c r="AI180"/>
      <c r="AJ180" s="6">
        <v>318</v>
      </c>
      <c r="AK180" s="19">
        <v>12</v>
      </c>
      <c r="AL180" s="19">
        <v>185</v>
      </c>
      <c r="AM180"/>
      <c r="AN180"/>
      <c r="AO180"/>
    </row>
    <row r="181" spans="1:41" x14ac:dyDescent="0.25">
      <c r="A181" s="18"/>
      <c r="B181" s="18"/>
      <c r="C181" s="18"/>
      <c r="D181" s="18"/>
      <c r="E181" s="18"/>
      <c r="F181" s="18"/>
      <c r="G181" s="18"/>
      <c r="H181" s="18"/>
      <c r="I181" s="18"/>
      <c r="J181" s="18"/>
      <c r="K181" s="18"/>
      <c r="L181" s="18"/>
      <c r="AH181" s="19">
        <v>240</v>
      </c>
      <c r="AI181"/>
      <c r="AJ181" s="6">
        <v>375</v>
      </c>
      <c r="AK181" s="19">
        <v>12.7</v>
      </c>
      <c r="AL181" s="19">
        <v>240</v>
      </c>
      <c r="AM181"/>
      <c r="AN181" t="s">
        <v>31</v>
      </c>
      <c r="AO181"/>
    </row>
    <row r="182" spans="1:41" x14ac:dyDescent="0.25">
      <c r="A182" s="18"/>
      <c r="B182" s="18"/>
      <c r="C182" s="18"/>
      <c r="D182" s="18"/>
      <c r="E182" s="18"/>
      <c r="F182" s="18"/>
      <c r="G182" s="18"/>
      <c r="H182" s="18"/>
      <c r="I182" s="18"/>
      <c r="J182" s="18"/>
      <c r="K182" s="18"/>
      <c r="L182" s="18"/>
      <c r="AH182" s="19" t="s">
        <v>88</v>
      </c>
      <c r="AI182"/>
      <c r="AJ182" s="6">
        <v>165</v>
      </c>
      <c r="AK182" s="19">
        <f t="shared" ref="AK182:AK217" si="76">ROUNDUP(AJ182^2*AN182/(56*AM182)*(1+0.004*(105-20)),1)</f>
        <v>27.5</v>
      </c>
      <c r="AL182" s="19" t="s">
        <v>88</v>
      </c>
      <c r="AM182" s="19">
        <f>8*6*0.5</f>
        <v>24</v>
      </c>
      <c r="AN182" s="20">
        <v>1.01</v>
      </c>
      <c r="AO182"/>
    </row>
    <row r="183" spans="1:41" x14ac:dyDescent="0.25">
      <c r="A183" s="18"/>
      <c r="B183" s="18"/>
      <c r="C183" s="18"/>
      <c r="D183" s="18"/>
      <c r="E183" s="18"/>
      <c r="F183" s="18"/>
      <c r="G183" s="18"/>
      <c r="H183" s="18"/>
      <c r="I183" s="18"/>
      <c r="J183" s="18"/>
      <c r="K183" s="18"/>
      <c r="L183" s="18"/>
      <c r="AH183" s="19" t="s">
        <v>89</v>
      </c>
      <c r="AI183"/>
      <c r="AJ183" s="6">
        <v>240</v>
      </c>
      <c r="AK183" s="19">
        <f t="shared" si="76"/>
        <v>32.300000000000004</v>
      </c>
      <c r="AL183" s="19" t="s">
        <v>89</v>
      </c>
      <c r="AM183" s="19">
        <f>6*9*0.8</f>
        <v>43.2</v>
      </c>
      <c r="AN183" s="20">
        <v>1.01</v>
      </c>
    </row>
    <row r="184" spans="1:41" x14ac:dyDescent="0.25">
      <c r="A184" s="18"/>
      <c r="B184" s="18"/>
      <c r="C184" s="18"/>
      <c r="D184" s="18"/>
      <c r="E184" s="18"/>
      <c r="F184" s="18"/>
      <c r="G184" s="18"/>
      <c r="H184" s="18"/>
      <c r="I184" s="18"/>
      <c r="J184" s="18"/>
      <c r="K184" s="18"/>
      <c r="L184" s="18"/>
      <c r="AH184" s="19" t="s">
        <v>90</v>
      </c>
      <c r="AI184"/>
      <c r="AJ184" s="6">
        <v>275</v>
      </c>
      <c r="AK184" s="19">
        <f t="shared" si="76"/>
        <v>36.9</v>
      </c>
      <c r="AL184" s="19" t="s">
        <v>90</v>
      </c>
      <c r="AM184" s="19">
        <f>4*15.5*0.8</f>
        <v>49.6</v>
      </c>
      <c r="AN184" s="20">
        <v>1.01</v>
      </c>
    </row>
    <row r="185" spans="1:41" x14ac:dyDescent="0.25">
      <c r="AH185" s="19" t="s">
        <v>91</v>
      </c>
      <c r="AI185"/>
      <c r="AJ185" s="6">
        <v>350</v>
      </c>
      <c r="AK185" s="19">
        <f t="shared" si="76"/>
        <v>39.800000000000004</v>
      </c>
      <c r="AL185" s="19" t="s">
        <v>91</v>
      </c>
      <c r="AM185" s="19">
        <f>6*15.5*0.8</f>
        <v>74.400000000000006</v>
      </c>
      <c r="AN185" s="20">
        <v>1.01</v>
      </c>
    </row>
    <row r="186" spans="1:41" x14ac:dyDescent="0.25">
      <c r="AH186" s="19" t="s">
        <v>93</v>
      </c>
      <c r="AI186"/>
      <c r="AJ186" s="6">
        <v>435</v>
      </c>
      <c r="AK186" s="19">
        <f t="shared" si="76"/>
        <v>46.2</v>
      </c>
      <c r="AL186" s="19" t="s">
        <v>93</v>
      </c>
      <c r="AM186" s="19">
        <f>5*20*1</f>
        <v>100</v>
      </c>
      <c r="AN186" s="20">
        <v>1.02</v>
      </c>
    </row>
    <row r="187" spans="1:41" x14ac:dyDescent="0.25">
      <c r="AH187" s="19" t="s">
        <v>92</v>
      </c>
      <c r="AI187"/>
      <c r="AJ187" s="6">
        <v>480</v>
      </c>
      <c r="AK187" s="19">
        <f t="shared" si="76"/>
        <v>45.4</v>
      </c>
      <c r="AL187" s="19" t="s">
        <v>92</v>
      </c>
      <c r="AM187" s="19">
        <f>10*15.5*0.8</f>
        <v>124</v>
      </c>
      <c r="AN187" s="20">
        <v>1.02</v>
      </c>
    </row>
    <row r="188" spans="1:41" x14ac:dyDescent="0.25">
      <c r="AH188" s="19" t="s">
        <v>94</v>
      </c>
      <c r="AI188"/>
      <c r="AJ188" s="6">
        <v>510</v>
      </c>
      <c r="AK188" s="19">
        <f t="shared" si="76"/>
        <v>53</v>
      </c>
      <c r="AL188" s="19" t="s">
        <v>94</v>
      </c>
      <c r="AM188" s="19">
        <f>5*24*1</f>
        <v>120</v>
      </c>
      <c r="AN188" s="20">
        <v>1.02</v>
      </c>
    </row>
    <row r="189" spans="1:41" x14ac:dyDescent="0.25">
      <c r="AH189" s="19" t="s">
        <v>96</v>
      </c>
      <c r="AI189"/>
      <c r="AJ189" s="6">
        <v>645</v>
      </c>
      <c r="AK189" s="19">
        <f t="shared" si="76"/>
        <v>64.099999999999994</v>
      </c>
      <c r="AL189" s="19" t="s">
        <v>96</v>
      </c>
      <c r="AM189" s="19">
        <f>5*32*1</f>
        <v>160</v>
      </c>
      <c r="AN189" s="20">
        <v>1.03</v>
      </c>
    </row>
    <row r="190" spans="1:41" x14ac:dyDescent="0.25">
      <c r="AH190" s="19" t="s">
        <v>95</v>
      </c>
      <c r="AI190"/>
      <c r="AJ190" s="6">
        <v>770</v>
      </c>
      <c r="AK190" s="19">
        <f t="shared" si="76"/>
        <v>60.9</v>
      </c>
      <c r="AL190" s="19" t="s">
        <v>95</v>
      </c>
      <c r="AM190" s="19">
        <f>10*24*1</f>
        <v>240</v>
      </c>
      <c r="AN190" s="20">
        <v>1.03</v>
      </c>
    </row>
    <row r="191" spans="1:41" x14ac:dyDescent="0.25">
      <c r="AH191" s="19" t="s">
        <v>98</v>
      </c>
      <c r="AI191"/>
      <c r="AJ191" s="6">
        <v>780</v>
      </c>
      <c r="AK191" s="19">
        <f t="shared" si="76"/>
        <v>75</v>
      </c>
      <c r="AL191" s="19" t="s">
        <v>98</v>
      </c>
      <c r="AM191" s="19">
        <f>5*40*1</f>
        <v>200</v>
      </c>
      <c r="AN191" s="20">
        <v>1.03</v>
      </c>
    </row>
    <row r="192" spans="1:41" x14ac:dyDescent="0.25">
      <c r="AH192" s="19" t="s">
        <v>100</v>
      </c>
      <c r="AI192"/>
      <c r="AJ192" s="6">
        <v>940</v>
      </c>
      <c r="AK192" s="19">
        <f t="shared" si="76"/>
        <v>88</v>
      </c>
      <c r="AL192" s="19" t="s">
        <v>100</v>
      </c>
      <c r="AM192" s="19">
        <f>5*50*1</f>
        <v>250</v>
      </c>
      <c r="AN192" s="20">
        <v>1.04</v>
      </c>
    </row>
    <row r="193" spans="34:42" x14ac:dyDescent="0.25">
      <c r="AH193" s="19" t="s">
        <v>97</v>
      </c>
      <c r="AI193"/>
      <c r="AJ193" s="6">
        <v>965</v>
      </c>
      <c r="AK193" s="19">
        <f t="shared" si="76"/>
        <v>73.199999999999989</v>
      </c>
      <c r="AL193" s="19" t="s">
        <v>97</v>
      </c>
      <c r="AM193" s="19">
        <f>10*32*1</f>
        <v>320</v>
      </c>
      <c r="AN193" s="20">
        <v>1.05</v>
      </c>
    </row>
    <row r="194" spans="34:42" x14ac:dyDescent="0.25">
      <c r="AH194" s="19" t="s">
        <v>99</v>
      </c>
      <c r="AI194"/>
      <c r="AJ194" s="6">
        <v>1145</v>
      </c>
      <c r="AK194" s="19">
        <f t="shared" si="76"/>
        <v>84</v>
      </c>
      <c r="AL194" s="19" t="s">
        <v>99</v>
      </c>
      <c r="AM194" s="19">
        <f>10*40*1</f>
        <v>400</v>
      </c>
      <c r="AN194" s="20">
        <v>1.07</v>
      </c>
    </row>
    <row r="195" spans="34:42" x14ac:dyDescent="0.25">
      <c r="AH195" s="19" t="s">
        <v>101</v>
      </c>
      <c r="AI195"/>
      <c r="AJ195" s="6">
        <v>1365</v>
      </c>
      <c r="AK195" s="19">
        <f t="shared" si="76"/>
        <v>96.399999999999991</v>
      </c>
      <c r="AL195" s="19" t="s">
        <v>101</v>
      </c>
      <c r="AM195" s="19">
        <f>10*50*1</f>
        <v>500</v>
      </c>
      <c r="AN195" s="20">
        <v>1.08</v>
      </c>
    </row>
    <row r="196" spans="34:42" x14ac:dyDescent="0.25">
      <c r="AH196" s="19" t="s">
        <v>102</v>
      </c>
      <c r="AI196"/>
      <c r="AJ196" s="6">
        <v>1610</v>
      </c>
      <c r="AK196" s="19">
        <f t="shared" si="76"/>
        <v>108.3</v>
      </c>
      <c r="AL196" s="19" t="s">
        <v>102</v>
      </c>
      <c r="AM196" s="19">
        <f>10*63*1</f>
        <v>630</v>
      </c>
      <c r="AN196" s="20">
        <v>1.1000000000000001</v>
      </c>
    </row>
    <row r="197" spans="34:42" x14ac:dyDescent="0.25">
      <c r="AH197" s="19" t="s">
        <v>103</v>
      </c>
      <c r="AI197"/>
      <c r="AJ197" s="6">
        <f>ROUNDUP(AJ193*1.6,0)</f>
        <v>1544</v>
      </c>
      <c r="AK197" s="19">
        <f t="shared" si="76"/>
        <v>99</v>
      </c>
      <c r="AL197" s="19" t="s">
        <v>103</v>
      </c>
      <c r="AM197" s="19">
        <f>2* 10*32*1</f>
        <v>640</v>
      </c>
      <c r="AN197" s="19">
        <v>1.1100000000000001</v>
      </c>
    </row>
    <row r="198" spans="34:42" x14ac:dyDescent="0.25">
      <c r="AH198" s="19" t="s">
        <v>104</v>
      </c>
      <c r="AI198"/>
      <c r="AJ198" s="6">
        <f t="shared" ref="AJ198:AJ200" si="77">ROUNDUP(AJ194*1.6,0)</f>
        <v>1832</v>
      </c>
      <c r="AK198" s="19">
        <f t="shared" si="76"/>
        <v>115.5</v>
      </c>
      <c r="AL198" s="19" t="s">
        <v>104</v>
      </c>
      <c r="AM198" s="19">
        <f>2* 10*40*1</f>
        <v>800</v>
      </c>
      <c r="AN198" s="20">
        <v>1.1499999999999999</v>
      </c>
    </row>
    <row r="199" spans="34:42" x14ac:dyDescent="0.25">
      <c r="AH199" s="19" t="s">
        <v>105</v>
      </c>
      <c r="AI199"/>
      <c r="AJ199" s="6">
        <f t="shared" si="77"/>
        <v>2184</v>
      </c>
      <c r="AK199" s="19">
        <f t="shared" si="76"/>
        <v>134.69999999999999</v>
      </c>
      <c r="AL199" s="19" t="s">
        <v>105</v>
      </c>
      <c r="AM199" s="19">
        <f>2* 10*50*1</f>
        <v>1000</v>
      </c>
      <c r="AN199" s="20">
        <v>1.18</v>
      </c>
    </row>
    <row r="200" spans="34:42" x14ac:dyDescent="0.25">
      <c r="AH200" s="19" t="s">
        <v>106</v>
      </c>
      <c r="AI200"/>
      <c r="AJ200" s="6">
        <f t="shared" si="77"/>
        <v>2576</v>
      </c>
      <c r="AK200" s="19">
        <f t="shared" si="76"/>
        <v>152.5</v>
      </c>
      <c r="AL200" s="19" t="s">
        <v>106</v>
      </c>
      <c r="AM200" s="19">
        <f>2* 10*63*1</f>
        <v>1260</v>
      </c>
      <c r="AN200" s="20">
        <v>1.21</v>
      </c>
    </row>
    <row r="201" spans="34:42" x14ac:dyDescent="0.25">
      <c r="AH201" s="20" t="s">
        <v>28</v>
      </c>
      <c r="AI201"/>
      <c r="AJ201" s="20">
        <v>210</v>
      </c>
      <c r="AK201" s="19">
        <f t="shared" si="76"/>
        <v>18.100000000000001</v>
      </c>
      <c r="AL201" s="20" t="s">
        <v>28</v>
      </c>
      <c r="AM201" s="20">
        <v>59.1</v>
      </c>
      <c r="AN201" s="20">
        <v>1.01</v>
      </c>
    </row>
    <row r="202" spans="34:42" x14ac:dyDescent="0.25">
      <c r="AH202" s="6" t="s">
        <v>29</v>
      </c>
      <c r="AI202"/>
      <c r="AJ202" s="20">
        <v>340</v>
      </c>
      <c r="AK202" s="19">
        <f t="shared" si="76"/>
        <v>23.8</v>
      </c>
      <c r="AL202" s="6" t="s">
        <v>29</v>
      </c>
      <c r="AM202" s="6">
        <v>119</v>
      </c>
      <c r="AN202" s="20">
        <v>1.02</v>
      </c>
    </row>
    <row r="203" spans="34:42" x14ac:dyDescent="0.25">
      <c r="AH203" s="20" t="s">
        <v>21</v>
      </c>
      <c r="AI203"/>
      <c r="AJ203" s="20">
        <v>260</v>
      </c>
      <c r="AK203" s="19">
        <f t="shared" si="76"/>
        <v>22.3</v>
      </c>
      <c r="AL203" s="20" t="s">
        <v>21</v>
      </c>
      <c r="AM203" s="20">
        <v>74.099999999999994</v>
      </c>
      <c r="AN203" s="20">
        <v>1.02</v>
      </c>
    </row>
    <row r="204" spans="34:42" x14ac:dyDescent="0.25">
      <c r="AH204" s="6" t="s">
        <v>22</v>
      </c>
      <c r="AI204"/>
      <c r="AJ204" s="20">
        <v>360</v>
      </c>
      <c r="AK204" s="19">
        <f t="shared" si="76"/>
        <v>21.5</v>
      </c>
      <c r="AL204" s="6" t="s">
        <v>22</v>
      </c>
      <c r="AM204" s="6">
        <v>149</v>
      </c>
      <c r="AN204" s="20">
        <v>1.03</v>
      </c>
    </row>
    <row r="205" spans="34:42" x14ac:dyDescent="0.25">
      <c r="AH205" s="20" t="s">
        <v>23</v>
      </c>
      <c r="AI205"/>
      <c r="AJ205" s="20">
        <v>319</v>
      </c>
      <c r="AK205" s="19">
        <f t="shared" si="76"/>
        <v>25.1</v>
      </c>
      <c r="AL205" s="20" t="s">
        <v>23</v>
      </c>
      <c r="AM205" s="20">
        <v>99.1</v>
      </c>
      <c r="AN205" s="20">
        <v>1.02</v>
      </c>
      <c r="AO205" s="7">
        <v>178</v>
      </c>
      <c r="AP205" s="7">
        <f>AJ205/AO205</f>
        <v>1.7921348314606742</v>
      </c>
    </row>
    <row r="206" spans="34:42" x14ac:dyDescent="0.25">
      <c r="AH206" s="20" t="s">
        <v>24</v>
      </c>
      <c r="AI206"/>
      <c r="AJ206" s="20">
        <v>497</v>
      </c>
      <c r="AK206" s="19">
        <f t="shared" si="76"/>
        <v>30.6</v>
      </c>
      <c r="AL206" s="20" t="s">
        <v>24</v>
      </c>
      <c r="AM206" s="20">
        <v>199</v>
      </c>
      <c r="AN206" s="20">
        <v>1.03</v>
      </c>
      <c r="AO206" s="7">
        <v>278</v>
      </c>
      <c r="AP206" s="7">
        <f t="shared" ref="AP206:AP218" si="78">AJ206/AO206</f>
        <v>1.7877697841726619</v>
      </c>
    </row>
    <row r="207" spans="34:42" x14ac:dyDescent="0.25">
      <c r="AH207" s="20" t="s">
        <v>25</v>
      </c>
      <c r="AI207"/>
      <c r="AJ207" s="20">
        <v>384</v>
      </c>
      <c r="AK207" s="19">
        <f t="shared" si="76"/>
        <v>29.1</v>
      </c>
      <c r="AL207" s="20" t="s">
        <v>25</v>
      </c>
      <c r="AM207" s="20">
        <v>124</v>
      </c>
      <c r="AN207" s="20">
        <v>1.02</v>
      </c>
      <c r="AO207" s="7">
        <v>213</v>
      </c>
      <c r="AP207" s="7">
        <f t="shared" si="78"/>
        <v>1.8028169014084507</v>
      </c>
    </row>
    <row r="208" spans="34:42" x14ac:dyDescent="0.25">
      <c r="AH208" s="20" t="s">
        <v>26</v>
      </c>
      <c r="AI208"/>
      <c r="AJ208" s="20">
        <v>447</v>
      </c>
      <c r="AK208" s="19">
        <f t="shared" si="76"/>
        <v>33.1</v>
      </c>
      <c r="AL208" s="20" t="s">
        <v>26</v>
      </c>
      <c r="AM208" s="20">
        <v>149</v>
      </c>
      <c r="AN208" s="20">
        <v>1.03</v>
      </c>
      <c r="AO208" s="7">
        <v>246</v>
      </c>
      <c r="AP208" s="7">
        <f t="shared" si="78"/>
        <v>1.8170731707317074</v>
      </c>
    </row>
    <row r="209" spans="34:42" x14ac:dyDescent="0.25">
      <c r="AH209" s="20" t="s">
        <v>27</v>
      </c>
      <c r="AI209"/>
      <c r="AJ209" s="20">
        <v>800</v>
      </c>
      <c r="AK209" s="19">
        <f t="shared" si="76"/>
        <v>53.800000000000004</v>
      </c>
      <c r="AL209" s="20" t="s">
        <v>27</v>
      </c>
      <c r="AM209" s="20">
        <v>299</v>
      </c>
      <c r="AN209" s="20">
        <v>1.05</v>
      </c>
      <c r="AO209" s="7">
        <v>372</v>
      </c>
      <c r="AP209" s="7">
        <f t="shared" si="78"/>
        <v>2.150537634408602</v>
      </c>
    </row>
    <row r="210" spans="34:42" x14ac:dyDescent="0.25">
      <c r="AH210" s="19" t="s">
        <v>107</v>
      </c>
      <c r="AI210"/>
      <c r="AJ210" s="6">
        <f t="shared" ref="AJ210:AJ217" si="79">AO210*1.77</f>
        <v>554.01</v>
      </c>
      <c r="AK210" s="19">
        <f t="shared" si="76"/>
        <v>38.1</v>
      </c>
      <c r="AL210" s="19" t="s">
        <v>107</v>
      </c>
      <c r="AM210" s="19">
        <f>40*5-1</f>
        <v>199</v>
      </c>
      <c r="AN210" s="20">
        <v>1.03</v>
      </c>
      <c r="AO210" s="7">
        <v>313</v>
      </c>
      <c r="AP210" s="7">
        <f t="shared" si="78"/>
        <v>1.77</v>
      </c>
    </row>
    <row r="211" spans="34:42" x14ac:dyDescent="0.25">
      <c r="AH211" s="19" t="s">
        <v>108</v>
      </c>
      <c r="AI211"/>
      <c r="AJ211" s="6">
        <f t="shared" si="79"/>
        <v>823.05</v>
      </c>
      <c r="AK211" s="19">
        <f t="shared" si="76"/>
        <v>43.5</v>
      </c>
      <c r="AL211" s="19" t="s">
        <v>108</v>
      </c>
      <c r="AM211" s="19">
        <f>40*10-1</f>
        <v>399</v>
      </c>
      <c r="AN211" s="20">
        <v>1.07</v>
      </c>
      <c r="AO211" s="7">
        <v>465</v>
      </c>
      <c r="AP211" s="7">
        <f t="shared" si="78"/>
        <v>1.7699999999999998</v>
      </c>
    </row>
    <row r="212" spans="34:42" x14ac:dyDescent="0.25">
      <c r="AH212" s="19" t="s">
        <v>109</v>
      </c>
      <c r="AI212"/>
      <c r="AJ212" s="6">
        <f t="shared" si="79"/>
        <v>980.58</v>
      </c>
      <c r="AK212" s="19">
        <f t="shared" si="76"/>
        <v>49.800000000000004</v>
      </c>
      <c r="AL212" s="19" t="s">
        <v>109</v>
      </c>
      <c r="AM212" s="19">
        <f>50*10-1</f>
        <v>499</v>
      </c>
      <c r="AN212" s="20">
        <v>1.08</v>
      </c>
      <c r="AO212" s="7">
        <v>554</v>
      </c>
      <c r="AP212" s="7">
        <f t="shared" si="78"/>
        <v>1.77</v>
      </c>
    </row>
    <row r="213" spans="34:42" x14ac:dyDescent="0.25">
      <c r="AH213" s="19" t="s">
        <v>110</v>
      </c>
      <c r="AI213"/>
      <c r="AJ213" s="6">
        <f t="shared" si="79"/>
        <v>1132.8</v>
      </c>
      <c r="AK213" s="19">
        <f t="shared" si="76"/>
        <v>56.4</v>
      </c>
      <c r="AL213" s="19" t="s">
        <v>110</v>
      </c>
      <c r="AM213" s="19">
        <f>60*10-1</f>
        <v>599</v>
      </c>
      <c r="AN213" s="20">
        <v>1.1000000000000001</v>
      </c>
      <c r="AO213" s="7">
        <v>640</v>
      </c>
      <c r="AP213" s="7">
        <f t="shared" si="78"/>
        <v>1.77</v>
      </c>
    </row>
    <row r="214" spans="34:42" x14ac:dyDescent="0.25">
      <c r="AH214" s="19" t="s">
        <v>111</v>
      </c>
      <c r="AI214"/>
      <c r="AJ214" s="6">
        <f t="shared" si="79"/>
        <v>1426.6200000000001</v>
      </c>
      <c r="AK214" s="19">
        <f t="shared" si="76"/>
        <v>68.899999999999991</v>
      </c>
      <c r="AL214" s="19" t="s">
        <v>111</v>
      </c>
      <c r="AM214" s="19">
        <f>80*10-1</f>
        <v>799</v>
      </c>
      <c r="AN214" s="20">
        <v>1.1299999999999999</v>
      </c>
      <c r="AO214" s="7">
        <v>806</v>
      </c>
      <c r="AP214" s="7">
        <f t="shared" si="78"/>
        <v>1.7700000000000002</v>
      </c>
    </row>
    <row r="215" spans="34:42" x14ac:dyDescent="0.25">
      <c r="AH215" s="19" t="s">
        <v>112</v>
      </c>
      <c r="AI215"/>
      <c r="AJ215" s="6">
        <f t="shared" si="79"/>
        <v>1485.03</v>
      </c>
      <c r="AK215" s="19">
        <f t="shared" si="76"/>
        <v>76.099999999999994</v>
      </c>
      <c r="AL215" s="19" t="s">
        <v>112</v>
      </c>
      <c r="AM215" s="19">
        <f>2*40*10-2</f>
        <v>798</v>
      </c>
      <c r="AN215" s="20">
        <v>1.1499999999999999</v>
      </c>
      <c r="AO215" s="7">
        <v>839</v>
      </c>
      <c r="AP215" s="7">
        <f t="shared" si="78"/>
        <v>1.77</v>
      </c>
    </row>
    <row r="216" spans="34:42" x14ac:dyDescent="0.25">
      <c r="AH216" s="19" t="s">
        <v>113</v>
      </c>
      <c r="AI216"/>
      <c r="AJ216" s="6">
        <f t="shared" si="79"/>
        <v>1738.14</v>
      </c>
      <c r="AK216" s="19">
        <f t="shared" si="76"/>
        <v>85.5</v>
      </c>
      <c r="AL216" s="19" t="s">
        <v>113</v>
      </c>
      <c r="AM216" s="19">
        <f>2*50*10-2</f>
        <v>998</v>
      </c>
      <c r="AN216" s="20">
        <v>1.18</v>
      </c>
      <c r="AO216" s="7">
        <v>982</v>
      </c>
      <c r="AP216" s="7">
        <f t="shared" si="78"/>
        <v>1.77</v>
      </c>
    </row>
    <row r="217" spans="34:42" x14ac:dyDescent="0.25">
      <c r="AH217" s="19" t="s">
        <v>114</v>
      </c>
      <c r="AI217"/>
      <c r="AJ217" s="6">
        <f t="shared" si="79"/>
        <v>1978.8600000000001</v>
      </c>
      <c r="AK217" s="19">
        <f t="shared" si="76"/>
        <v>94.699999999999989</v>
      </c>
      <c r="AL217" s="19" t="s">
        <v>114</v>
      </c>
      <c r="AM217" s="19">
        <f>2*60*10-2</f>
        <v>1198</v>
      </c>
      <c r="AN217" s="20">
        <v>1.21</v>
      </c>
      <c r="AO217" s="7">
        <v>1118</v>
      </c>
      <c r="AP217" s="7">
        <f t="shared" si="78"/>
        <v>1.77</v>
      </c>
    </row>
    <row r="218" spans="34:42" x14ac:dyDescent="0.25">
      <c r="AH218" s="19" t="s">
        <v>115</v>
      </c>
      <c r="AI218"/>
      <c r="AJ218" s="6">
        <f>AO218*1.77</f>
        <v>2428.44</v>
      </c>
      <c r="AK218" s="19">
        <f>ROUNDUP(AJ218^2*AN218/(56*AM218)*(1+0.004*(105-20)),1)</f>
        <v>112.19999999999999</v>
      </c>
      <c r="AL218" s="19" t="s">
        <v>115</v>
      </c>
      <c r="AM218" s="19">
        <f>2*80*10-2</f>
        <v>1598</v>
      </c>
      <c r="AN218" s="20">
        <v>1.27</v>
      </c>
      <c r="AO218" s="7">
        <v>1372</v>
      </c>
      <c r="AP218" s="7">
        <f t="shared" si="78"/>
        <v>1.77</v>
      </c>
    </row>
    <row r="219" spans="34:42" x14ac:dyDescent="0.25">
      <c r="AH219"/>
      <c r="AI219"/>
      <c r="AJ219"/>
      <c r="AK219"/>
      <c r="AL219"/>
      <c r="AM219"/>
      <c r="AN219"/>
    </row>
    <row r="223" spans="34:42" x14ac:dyDescent="0.25">
      <c r="AH223" s="231" t="s">
        <v>33</v>
      </c>
      <c r="AI223" s="231"/>
      <c r="AJ223" s="231"/>
      <c r="AK223" s="231"/>
    </row>
    <row r="224" spans="34:42" ht="30" x14ac:dyDescent="0.25">
      <c r="AH224" t="s">
        <v>19</v>
      </c>
      <c r="AI224" t="s">
        <v>14</v>
      </c>
      <c r="AJ224" s="9" t="s">
        <v>30</v>
      </c>
      <c r="AK224" t="s">
        <v>31</v>
      </c>
    </row>
    <row r="225" spans="34:37" x14ac:dyDescent="0.25">
      <c r="AH225" t="s">
        <v>18</v>
      </c>
      <c r="AI225"/>
      <c r="AJ225" t="s">
        <v>1</v>
      </c>
      <c r="AK225"/>
    </row>
    <row r="226" spans="34:37" x14ac:dyDescent="0.25">
      <c r="AH226"/>
      <c r="AI226"/>
      <c r="AJ226"/>
      <c r="AK226"/>
    </row>
    <row r="227" spans="34:37" x14ac:dyDescent="0.25">
      <c r="AH227" s="20" t="s">
        <v>212</v>
      </c>
      <c r="AI227" s="20">
        <v>9.9</v>
      </c>
      <c r="AJ227" s="20">
        <v>63</v>
      </c>
      <c r="AK227" s="20">
        <v>1.01</v>
      </c>
    </row>
    <row r="228" spans="34:37" x14ac:dyDescent="0.25">
      <c r="AH228" s="20" t="s">
        <v>213</v>
      </c>
      <c r="AI228" s="20">
        <v>15.9</v>
      </c>
      <c r="AJ228" s="20">
        <v>80</v>
      </c>
      <c r="AK228" s="20">
        <v>1.01</v>
      </c>
    </row>
    <row r="229" spans="34:37" x14ac:dyDescent="0.25">
      <c r="AH229" s="20" t="s">
        <v>28</v>
      </c>
      <c r="AI229" s="20">
        <v>59.1</v>
      </c>
      <c r="AJ229" s="20">
        <v>210</v>
      </c>
      <c r="AK229" s="20">
        <v>1.01</v>
      </c>
    </row>
    <row r="230" spans="34:37" x14ac:dyDescent="0.25">
      <c r="AH230" s="6" t="s">
        <v>29</v>
      </c>
      <c r="AI230" s="6">
        <v>119</v>
      </c>
      <c r="AJ230" s="20">
        <v>340</v>
      </c>
      <c r="AK230" s="20">
        <v>1.02</v>
      </c>
    </row>
    <row r="231" spans="34:37" x14ac:dyDescent="0.25">
      <c r="AH231" s="20" t="s">
        <v>21</v>
      </c>
      <c r="AI231" s="20">
        <v>74.099999999999994</v>
      </c>
      <c r="AJ231" s="20">
        <v>260</v>
      </c>
      <c r="AK231" s="20">
        <v>1.02</v>
      </c>
    </row>
    <row r="232" spans="34:37" x14ac:dyDescent="0.25">
      <c r="AH232" s="6" t="s">
        <v>22</v>
      </c>
      <c r="AI232" s="6">
        <v>149</v>
      </c>
      <c r="AJ232" s="20">
        <v>360</v>
      </c>
      <c r="AK232" s="20">
        <v>1.03</v>
      </c>
    </row>
    <row r="233" spans="34:37" x14ac:dyDescent="0.25">
      <c r="AH233" s="20" t="s">
        <v>23</v>
      </c>
      <c r="AI233" s="20">
        <v>99.1</v>
      </c>
      <c r="AJ233" s="20">
        <v>319</v>
      </c>
      <c r="AK233" s="20">
        <v>1.02</v>
      </c>
    </row>
    <row r="234" spans="34:37" x14ac:dyDescent="0.25">
      <c r="AH234" s="20" t="s">
        <v>24</v>
      </c>
      <c r="AI234" s="20">
        <v>199</v>
      </c>
      <c r="AJ234" s="20">
        <v>497</v>
      </c>
      <c r="AK234" s="20">
        <v>1.03</v>
      </c>
    </row>
    <row r="235" spans="34:37" x14ac:dyDescent="0.25">
      <c r="AH235" s="20" t="s">
        <v>25</v>
      </c>
      <c r="AI235" s="20">
        <v>124</v>
      </c>
      <c r="AJ235" s="20">
        <v>384</v>
      </c>
      <c r="AK235" s="20">
        <v>1.02</v>
      </c>
    </row>
    <row r="236" spans="34:37" x14ac:dyDescent="0.25">
      <c r="AH236" s="20" t="s">
        <v>26</v>
      </c>
      <c r="AI236" s="20">
        <v>149</v>
      </c>
      <c r="AJ236" s="20">
        <v>447</v>
      </c>
      <c r="AK236" s="20">
        <v>1.03</v>
      </c>
    </row>
    <row r="237" spans="34:37" x14ac:dyDescent="0.25">
      <c r="AH237" s="20" t="s">
        <v>27</v>
      </c>
      <c r="AI237" s="20">
        <v>299</v>
      </c>
      <c r="AJ237" s="20">
        <v>800</v>
      </c>
      <c r="AK237" s="20">
        <v>1.05</v>
      </c>
    </row>
    <row r="238" spans="34:37" x14ac:dyDescent="0.25">
      <c r="AH238" s="20" t="s">
        <v>86</v>
      </c>
      <c r="AI238" s="20">
        <v>300</v>
      </c>
      <c r="AJ238" s="20">
        <v>800</v>
      </c>
      <c r="AK238" s="20">
        <v>1.05</v>
      </c>
    </row>
    <row r="239" spans="34:37" x14ac:dyDescent="0.25">
      <c r="AH239" s="20" t="s">
        <v>87</v>
      </c>
      <c r="AI239" s="20">
        <v>900</v>
      </c>
      <c r="AJ239" s="20">
        <v>1600</v>
      </c>
      <c r="AK239" s="20">
        <v>1.1599999999999999</v>
      </c>
    </row>
    <row r="240" spans="34:37" x14ac:dyDescent="0.25">
      <c r="AH240" s="20"/>
      <c r="AI240" s="20"/>
      <c r="AJ240" s="20"/>
      <c r="AK240" s="20"/>
    </row>
    <row r="241" spans="34:37" x14ac:dyDescent="0.25">
      <c r="AH241" s="20" t="str">
        <f>VLOOKUP($O$11,$AH$227:$AK$239,1,FALSE)</f>
        <v>30x5</v>
      </c>
      <c r="AI241" s="20">
        <f>VLOOKUP($O$11,$AH$227:$AK$239,2,FALSE)</f>
        <v>149</v>
      </c>
      <c r="AJ241" s="20">
        <f>VLOOKUP($O$11,$AH$227:$AK$239,3,FALSE)</f>
        <v>447</v>
      </c>
      <c r="AK241" s="20">
        <f>VLOOKUP($O$11,$AH$227:$AK$239,4,FALSE)</f>
        <v>1.03</v>
      </c>
    </row>
    <row r="242" spans="34:37" x14ac:dyDescent="0.25">
      <c r="AH242"/>
      <c r="AI242" s="10" t="s">
        <v>32</v>
      </c>
      <c r="AJ242" s="20">
        <f>ROUNDUP($F$11*$F$11*$AK$241/(56*$AI$241)*(1+0.004*(80-20)),0)</f>
        <v>7</v>
      </c>
      <c r="AK242" t="s">
        <v>16</v>
      </c>
    </row>
  </sheetData>
  <sheetProtection algorithmName="SHA-512" hashValue="SFtOoqLyMpPjwFWPiEbtGqgtHP4kecp0txGE9FHOwEV4SrmkP7polqMJI6/f002bU7J1J9u1VGWkQ5liRHxmGg==" saltValue="RQAde70dXhmNI6GDRmDTvw==" spinCount="100000" sheet="1" selectLockedCells="1"/>
  <mergeCells count="68">
    <mergeCell ref="L7:O7"/>
    <mergeCell ref="P7:R7"/>
    <mergeCell ref="J77:M77"/>
    <mergeCell ref="O68:Q68"/>
    <mergeCell ref="J78:M78"/>
    <mergeCell ref="O69:R69"/>
    <mergeCell ref="G60:N69"/>
    <mergeCell ref="J79:M79"/>
    <mergeCell ref="C60:E60"/>
    <mergeCell ref="O60:Q60"/>
    <mergeCell ref="O61:Q61"/>
    <mergeCell ref="O62:Q62"/>
    <mergeCell ref="O64:Q64"/>
    <mergeCell ref="O63:R63"/>
    <mergeCell ref="I72:M72"/>
    <mergeCell ref="J73:M73"/>
    <mergeCell ref="J74:M74"/>
    <mergeCell ref="J75:M75"/>
    <mergeCell ref="J76:M76"/>
    <mergeCell ref="O66:R66"/>
    <mergeCell ref="O65:Q65"/>
    <mergeCell ref="O67:Q67"/>
    <mergeCell ref="BJ98:BM98"/>
    <mergeCell ref="AN86:AO86"/>
    <mergeCell ref="AJ87:AK87"/>
    <mergeCell ref="AL87:AM87"/>
    <mergeCell ref="AN87:AO87"/>
    <mergeCell ref="AL86:AM86"/>
    <mergeCell ref="AJ107:AK107"/>
    <mergeCell ref="AH223:AK223"/>
    <mergeCell ref="AH86:AI87"/>
    <mergeCell ref="AJ86:AK86"/>
    <mergeCell ref="AJ139:AK139"/>
    <mergeCell ref="AJ140:AK140"/>
    <mergeCell ref="AJ162:AK162"/>
    <mergeCell ref="AJ163:AK163"/>
    <mergeCell ref="A7:F7"/>
    <mergeCell ref="G4:J4"/>
    <mergeCell ref="G5:J5"/>
    <mergeCell ref="G7:H7"/>
    <mergeCell ref="I7:K7"/>
    <mergeCell ref="A4:B4"/>
    <mergeCell ref="A5:B5"/>
    <mergeCell ref="E110:E111"/>
    <mergeCell ref="C111:D111"/>
    <mergeCell ref="A68:F69"/>
    <mergeCell ref="A91:H91"/>
    <mergeCell ref="D89:E89"/>
    <mergeCell ref="B110:B111"/>
    <mergeCell ref="C110:D110"/>
    <mergeCell ref="D4:F4"/>
    <mergeCell ref="D5:F5"/>
    <mergeCell ref="M4:P4"/>
    <mergeCell ref="M5:P5"/>
    <mergeCell ref="A3:B3"/>
    <mergeCell ref="M3:P3"/>
    <mergeCell ref="I3:J3"/>
    <mergeCell ref="G3:H3"/>
    <mergeCell ref="I2:J2"/>
    <mergeCell ref="E3:F3"/>
    <mergeCell ref="A2:B2"/>
    <mergeCell ref="Q2:R2"/>
    <mergeCell ref="A1:R1"/>
    <mergeCell ref="C2:D2"/>
    <mergeCell ref="E2:F2"/>
    <mergeCell ref="K2:L2"/>
    <mergeCell ref="M2:P2"/>
    <mergeCell ref="G2:H2"/>
  </mergeCells>
  <phoneticPr fontId="19" type="noConversion"/>
  <conditionalFormatting sqref="G10:G59">
    <cfRule type="expression" dxfId="5" priority="3">
      <formula>AND($G10&gt;0,$D10/0.8&gt;$G10)</formula>
    </cfRule>
  </conditionalFormatting>
  <conditionalFormatting sqref="I10:I59">
    <cfRule type="expression" dxfId="4" priority="2">
      <formula>AND($I10&gt;0,$D10/0.8&gt;$I10)</formula>
    </cfRule>
  </conditionalFormatting>
  <conditionalFormatting sqref="K3">
    <cfRule type="cellIs" dxfId="3" priority="24" operator="notBetween">
      <formula>1</formula>
      <formula>7</formula>
    </cfRule>
  </conditionalFormatting>
  <conditionalFormatting sqref="Q5:Q6 Q119:Q120 Q137 Q140">
    <cfRule type="cellIs" dxfId="2" priority="25" operator="notBetween">
      <formula>0</formula>
      <formula>3</formula>
    </cfRule>
  </conditionalFormatting>
  <conditionalFormatting sqref="R65">
    <cfRule type="cellIs" dxfId="1" priority="28" operator="greaterThan">
      <formula>$Q$4</formula>
    </cfRule>
  </conditionalFormatting>
  <conditionalFormatting sqref="R68">
    <cfRule type="cellIs" dxfId="0" priority="20" operator="greaterThan">
      <formula>$Q$4</formula>
    </cfRule>
  </conditionalFormatting>
  <printOptions horizontalCentered="1"/>
  <pageMargins left="0.23622047244094491" right="0.23622047244094491" top="0.74803149606299213" bottom="0.74803149606299213" header="0.31496062992125984" footer="0.31496062992125984"/>
  <pageSetup paperSize="8" scale="57" orientation="portrait" r:id="rId1"/>
  <headerFooter>
    <oddHeader>&amp;C&amp;"Trade Gothic Next Heavy,Obyčejné"&amp;28&amp;U&amp;K00-046Rittal ─ The System.&amp;U
&amp;16Faster ─ better ─ everywhere</oddHeader>
    <oddFooter>&amp;C&amp;"Arial,Tučné"&amp;16&amp;K00-047Tento dokument je duševním  vlastnictvím společnosti Rittal. Jakékoliv použití, šíření a postupování třetím osobám je povoleno pouze se souhlasem společnosti Rittal.</oddFooter>
  </headerFooter>
  <rowBreaks count="1" manualBreakCount="1">
    <brk id="69" max="17" man="1"/>
  </rowBreaks>
  <ignoredErrors>
    <ignoredError sqref="F10:F11 F14:F59 K2" unlockedFormula="1"/>
  </ignoredErrors>
  <drawing r:id="rId2"/>
  <legacyDrawing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Calculation method up to 1600 A</vt:lpstr>
      <vt:lpstr>'Calculation method up to 1600 A'!Oblast_tisku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2024-01-16T13:57:07Z</dcterms:modified>
</cp:coreProperties>
</file>